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cunovodstvo\Desktop\Financijski planovi\Planovi 2023\"/>
    </mc:Choice>
  </mc:AlternateContent>
  <xr:revisionPtr revIDLastSave="0" documentId="13_ncr:1_{E8CC3411-1F5A-4378-8115-3EAC90428FF2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Rashodi-plan 2023" sheetId="5" r:id="rId1"/>
    <sheet name="Rashodi-plan 2024" sheetId="10" r:id="rId2"/>
    <sheet name="Rashodi-plan 2025" sheetId="11" r:id="rId3"/>
    <sheet name="Opći dio-kuna" sheetId="7" r:id="rId4"/>
    <sheet name="Opći dio-euro" sheetId="6" r:id="rId5"/>
    <sheet name=" Prihodi-plan od 2023 do 2025" sheetId="12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6" i="7" l="1"/>
  <c r="C16" i="7"/>
  <c r="B16" i="7"/>
  <c r="B15" i="7"/>
  <c r="D13" i="7"/>
  <c r="C13" i="7"/>
  <c r="D12" i="7"/>
  <c r="C12" i="7"/>
  <c r="B12" i="7"/>
  <c r="B13" i="7"/>
  <c r="B11" i="7" s="1"/>
  <c r="D9" i="7"/>
  <c r="D8" i="7" s="1"/>
  <c r="C9" i="7"/>
  <c r="C8" i="7" s="1"/>
  <c r="B9" i="7"/>
  <c r="B8" i="7"/>
  <c r="D18" i="11"/>
  <c r="D16" i="11"/>
  <c r="D15" i="11"/>
  <c r="D13" i="11"/>
  <c r="D12" i="11"/>
  <c r="D10" i="11"/>
  <c r="D8" i="11"/>
  <c r="Q22" i="10"/>
  <c r="Q23" i="10"/>
  <c r="Q24" i="10"/>
  <c r="Q25" i="10"/>
  <c r="Q26" i="10"/>
  <c r="Q27" i="10"/>
  <c r="Q28" i="10"/>
  <c r="Q29" i="10"/>
  <c r="Q30" i="10"/>
  <c r="Q31" i="10"/>
  <c r="Q32" i="10"/>
  <c r="Q33" i="10"/>
  <c r="Q34" i="10"/>
  <c r="Q35" i="10"/>
  <c r="Q36" i="10"/>
  <c r="Q37" i="10"/>
  <c r="Q38" i="10"/>
  <c r="Q39" i="10"/>
  <c r="Q40" i="10"/>
  <c r="Q41" i="10"/>
  <c r="Q42" i="10"/>
  <c r="Q43" i="10"/>
  <c r="Q44" i="10"/>
  <c r="Q45" i="10"/>
  <c r="Q46" i="10"/>
  <c r="Q47" i="10"/>
  <c r="Q48" i="10"/>
  <c r="Q49" i="10"/>
  <c r="Q50" i="10"/>
  <c r="Q51" i="10"/>
  <c r="Q52" i="10"/>
  <c r="Q53" i="10"/>
  <c r="Q54" i="10"/>
  <c r="Q55" i="10"/>
  <c r="Q56" i="10"/>
  <c r="Q57" i="10"/>
  <c r="Q58" i="10"/>
  <c r="Q59" i="10"/>
  <c r="Q60" i="10"/>
  <c r="Q61" i="10"/>
  <c r="Q62" i="10"/>
  <c r="Q63" i="10"/>
  <c r="Q64" i="10"/>
  <c r="Q65" i="10"/>
  <c r="Q66" i="10"/>
  <c r="Q67" i="10"/>
  <c r="Q68" i="10"/>
  <c r="Q69" i="10"/>
  <c r="Q70" i="10"/>
  <c r="Q71" i="10"/>
  <c r="Q72" i="10"/>
  <c r="Q73" i="10"/>
  <c r="Q74" i="10"/>
  <c r="Q75" i="10"/>
  <c r="Q76" i="10"/>
  <c r="Q77" i="10"/>
  <c r="Q78" i="10"/>
  <c r="Q79" i="10"/>
  <c r="Q80" i="10"/>
  <c r="Q81" i="10"/>
  <c r="Q82" i="10"/>
  <c r="Q83" i="10"/>
  <c r="Q84" i="10"/>
  <c r="Q85" i="10"/>
  <c r="Q86" i="10"/>
  <c r="Q87" i="10"/>
  <c r="Q88" i="10"/>
  <c r="Q89" i="10"/>
  <c r="Q90" i="10"/>
  <c r="Q91" i="10"/>
  <c r="Q92" i="10"/>
  <c r="Q93" i="10"/>
  <c r="Q94" i="10"/>
  <c r="Q95" i="10"/>
  <c r="Q96" i="10"/>
  <c r="Q97" i="10"/>
  <c r="Q98" i="10"/>
  <c r="Q99" i="10"/>
  <c r="Q100" i="10"/>
  <c r="Q101" i="10"/>
  <c r="Q102" i="10"/>
  <c r="Q103" i="10"/>
  <c r="Q104" i="10"/>
  <c r="Q105" i="10"/>
  <c r="Q106" i="10"/>
  <c r="Q107" i="10"/>
  <c r="Q108" i="10"/>
  <c r="Q109" i="10"/>
  <c r="Q110" i="10"/>
  <c r="Q111" i="10"/>
  <c r="Q112" i="10"/>
  <c r="Q113" i="10"/>
  <c r="Q114" i="10"/>
  <c r="Q115" i="10"/>
  <c r="Q116" i="10"/>
  <c r="Q117" i="10"/>
  <c r="Q118" i="10"/>
  <c r="Q119" i="10"/>
  <c r="Q120" i="10"/>
  <c r="Q121" i="10"/>
  <c r="Q122" i="10"/>
  <c r="Q123" i="10"/>
  <c r="Q124" i="10"/>
  <c r="Q125" i="10"/>
  <c r="Q126" i="10"/>
  <c r="Q127" i="10"/>
  <c r="Q128" i="10"/>
  <c r="Q129" i="10"/>
  <c r="Q130" i="10"/>
  <c r="Q131" i="10"/>
  <c r="Q132" i="10"/>
  <c r="Q133" i="10"/>
  <c r="Q134" i="10"/>
  <c r="Q135" i="10"/>
  <c r="Q136" i="10"/>
  <c r="Q137" i="10"/>
  <c r="Q138" i="10"/>
  <c r="Q139" i="10"/>
  <c r="Q140" i="10"/>
  <c r="Q141" i="10"/>
  <c r="Q142" i="10"/>
  <c r="Q143" i="10"/>
  <c r="Q144" i="10"/>
  <c r="Q145" i="10"/>
  <c r="Q146" i="10"/>
  <c r="Q147" i="10"/>
  <c r="Q148" i="10"/>
  <c r="Q149" i="10"/>
  <c r="Q150" i="10"/>
  <c r="Q151" i="10"/>
  <c r="Q152" i="10"/>
  <c r="Q153" i="10"/>
  <c r="Q154" i="10"/>
  <c r="Q155" i="10"/>
  <c r="Q156" i="10"/>
  <c r="Q157" i="10"/>
  <c r="Q158" i="10"/>
  <c r="Q159" i="10"/>
  <c r="Q160" i="10"/>
  <c r="Q161" i="10"/>
  <c r="Q162" i="10"/>
  <c r="Q163" i="10"/>
  <c r="Q164" i="10"/>
  <c r="Q165" i="10"/>
  <c r="Q166" i="10"/>
  <c r="Q167" i="10"/>
  <c r="Q168" i="10"/>
  <c r="Q169" i="10"/>
  <c r="Q170" i="10"/>
  <c r="Q171" i="10"/>
  <c r="Q172" i="10"/>
  <c r="Q173" i="10"/>
  <c r="Q174" i="10"/>
  <c r="Q175" i="10"/>
  <c r="Q176" i="10"/>
  <c r="Q177" i="10"/>
  <c r="Q178" i="10"/>
  <c r="Q179" i="10"/>
  <c r="Q180" i="10"/>
  <c r="Q181" i="10"/>
  <c r="Q182" i="10"/>
  <c r="Q183" i="10"/>
  <c r="Q184" i="10"/>
  <c r="Q185" i="10"/>
  <c r="Q186" i="10"/>
  <c r="Q187" i="10"/>
  <c r="Q188" i="10"/>
  <c r="Q189" i="10"/>
  <c r="Q190" i="10"/>
  <c r="Q191" i="10"/>
  <c r="Q192" i="10"/>
  <c r="Q193" i="10"/>
  <c r="Q194" i="10"/>
  <c r="Q195" i="10"/>
  <c r="Q196" i="10"/>
  <c r="Q197" i="10"/>
  <c r="Q198" i="10"/>
  <c r="Q199" i="10"/>
  <c r="C11" i="7" l="1"/>
  <c r="B14" i="7"/>
  <c r="D11" i="7"/>
  <c r="D14" i="7" s="1"/>
  <c r="C14" i="7"/>
  <c r="G192" i="11"/>
  <c r="G191" i="11" s="1"/>
  <c r="G189" i="11"/>
  <c r="G187" i="11"/>
  <c r="G183" i="11"/>
  <c r="G179" i="11"/>
  <c r="G175" i="11"/>
  <c r="E174" i="11"/>
  <c r="E173" i="11"/>
  <c r="E169" i="11" s="1"/>
  <c r="G171" i="11"/>
  <c r="G170" i="11" s="1"/>
  <c r="G167" i="11"/>
  <c r="G164" i="11"/>
  <c r="G160" i="11"/>
  <c r="G156" i="11"/>
  <c r="G151" i="11"/>
  <c r="G149" i="11"/>
  <c r="G144" i="11"/>
  <c r="G142" i="11"/>
  <c r="D142" i="11"/>
  <c r="G140" i="11"/>
  <c r="D140" i="11"/>
  <c r="G136" i="11"/>
  <c r="D136" i="11"/>
  <c r="G132" i="11"/>
  <c r="G131" i="11" s="1"/>
  <c r="E132" i="11"/>
  <c r="E131" i="11" s="1"/>
  <c r="D132" i="11"/>
  <c r="D131" i="11" s="1"/>
  <c r="G124" i="11"/>
  <c r="D124" i="11"/>
  <c r="G120" i="11"/>
  <c r="D120" i="11"/>
  <c r="G114" i="11"/>
  <c r="D114" i="11"/>
  <c r="G111" i="11"/>
  <c r="D111" i="11"/>
  <c r="G105" i="11"/>
  <c r="E105" i="11"/>
  <c r="D105" i="11"/>
  <c r="G99" i="11"/>
  <c r="E99" i="11"/>
  <c r="G94" i="11"/>
  <c r="D94" i="11"/>
  <c r="G89" i="11"/>
  <c r="E89" i="11"/>
  <c r="D89" i="11"/>
  <c r="G83" i="11"/>
  <c r="E83" i="11"/>
  <c r="D83" i="11"/>
  <c r="G80" i="11"/>
  <c r="G78" i="11"/>
  <c r="D78" i="11"/>
  <c r="G73" i="11"/>
  <c r="G67" i="11"/>
  <c r="E67" i="11"/>
  <c r="E57" i="11" s="1"/>
  <c r="D67" i="11"/>
  <c r="G65" i="11"/>
  <c r="G58" i="11"/>
  <c r="D58" i="11"/>
  <c r="G51" i="11"/>
  <c r="G49" i="11"/>
  <c r="E49" i="11"/>
  <c r="E40" i="11" s="1"/>
  <c r="G41" i="11"/>
  <c r="D41" i="11"/>
  <c r="D40" i="11" s="1"/>
  <c r="E35" i="11"/>
  <c r="F29" i="11"/>
  <c r="F23" i="11" s="1"/>
  <c r="F22" i="11" s="1"/>
  <c r="F199" i="11" s="1"/>
  <c r="E29" i="11"/>
  <c r="E24" i="11"/>
  <c r="G192" i="10"/>
  <c r="G191" i="10" s="1"/>
  <c r="G189" i="10"/>
  <c r="G187" i="10"/>
  <c r="G183" i="10"/>
  <c r="G179" i="10"/>
  <c r="G175" i="10"/>
  <c r="E174" i="10"/>
  <c r="E173" i="10"/>
  <c r="G171" i="10"/>
  <c r="G170" i="10" s="1"/>
  <c r="G167" i="10"/>
  <c r="G164" i="10"/>
  <c r="G160" i="10"/>
  <c r="G156" i="10"/>
  <c r="G151" i="10"/>
  <c r="G149" i="10"/>
  <c r="G144" i="10"/>
  <c r="G142" i="10"/>
  <c r="D142" i="10"/>
  <c r="G140" i="10"/>
  <c r="D140" i="10"/>
  <c r="G136" i="10"/>
  <c r="D136" i="10"/>
  <c r="G132" i="10"/>
  <c r="G131" i="10" s="1"/>
  <c r="E132" i="10"/>
  <c r="E131" i="10" s="1"/>
  <c r="D132" i="10"/>
  <c r="D131" i="10" s="1"/>
  <c r="G124" i="10"/>
  <c r="D124" i="10"/>
  <c r="G120" i="10"/>
  <c r="D120" i="10"/>
  <c r="G114" i="10"/>
  <c r="D114" i="10"/>
  <c r="G111" i="10"/>
  <c r="D111" i="10"/>
  <c r="G105" i="10"/>
  <c r="E105" i="10"/>
  <c r="D105" i="10"/>
  <c r="G99" i="10"/>
  <c r="E99" i="10"/>
  <c r="G94" i="10"/>
  <c r="D94" i="10"/>
  <c r="G89" i="10"/>
  <c r="E89" i="10"/>
  <c r="D89" i="10"/>
  <c r="G83" i="10"/>
  <c r="E83" i="10"/>
  <c r="D83" i="10"/>
  <c r="E82" i="10"/>
  <c r="G80" i="10"/>
  <c r="G78" i="10"/>
  <c r="D78" i="10"/>
  <c r="G73" i="10"/>
  <c r="G67" i="10"/>
  <c r="E67" i="10"/>
  <c r="E57" i="10" s="1"/>
  <c r="D67" i="10"/>
  <c r="G65" i="10"/>
  <c r="G58" i="10"/>
  <c r="D58" i="10"/>
  <c r="D57" i="10" s="1"/>
  <c r="G51" i="10"/>
  <c r="G49" i="10"/>
  <c r="E49" i="10"/>
  <c r="E40" i="10" s="1"/>
  <c r="G41" i="10"/>
  <c r="D41" i="10"/>
  <c r="D40" i="10" s="1"/>
  <c r="E35" i="10"/>
  <c r="F29" i="10"/>
  <c r="E29" i="10"/>
  <c r="E24" i="10"/>
  <c r="E49" i="5"/>
  <c r="E2" i="12"/>
  <c r="D2" i="12"/>
  <c r="D135" i="10" l="1"/>
  <c r="G155" i="10"/>
  <c r="G154" i="10" s="1"/>
  <c r="E23" i="10"/>
  <c r="G82" i="10"/>
  <c r="E23" i="11"/>
  <c r="G57" i="11"/>
  <c r="D135" i="11"/>
  <c r="G174" i="11"/>
  <c r="G173" i="11" s="1"/>
  <c r="G155" i="11"/>
  <c r="G82" i="11"/>
  <c r="E39" i="10"/>
  <c r="D82" i="10"/>
  <c r="G174" i="10"/>
  <c r="D82" i="11"/>
  <c r="E82" i="11"/>
  <c r="E39" i="11" s="1"/>
  <c r="F23" i="10"/>
  <c r="F22" i="10" s="1"/>
  <c r="F199" i="10" s="1"/>
  <c r="G40" i="10"/>
  <c r="G135" i="10"/>
  <c r="E169" i="10"/>
  <c r="G57" i="10"/>
  <c r="G40" i="11"/>
  <c r="D57" i="11"/>
  <c r="G135" i="11"/>
  <c r="D39" i="10"/>
  <c r="G173" i="10"/>
  <c r="G169" i="10" s="1"/>
  <c r="C2" i="12"/>
  <c r="E22" i="10" l="1"/>
  <c r="E199" i="10" s="1"/>
  <c r="G39" i="10"/>
  <c r="G22" i="10" s="1"/>
  <c r="G199" i="10" s="1"/>
  <c r="E22" i="11"/>
  <c r="E199" i="11" s="1"/>
  <c r="G154" i="11"/>
  <c r="G169" i="11"/>
  <c r="D39" i="11"/>
  <c r="G39" i="11"/>
  <c r="D22" i="10"/>
  <c r="G22" i="11" l="1"/>
  <c r="G199" i="11" s="1"/>
  <c r="D22" i="11"/>
  <c r="D199" i="10"/>
  <c r="I192" i="11"/>
  <c r="I191" i="11" s="1"/>
  <c r="M187" i="11"/>
  <c r="I165" i="11"/>
  <c r="I144" i="11"/>
  <c r="I132" i="11"/>
  <c r="I114" i="11"/>
  <c r="L94" i="11"/>
  <c r="L83" i="11"/>
  <c r="I83" i="11"/>
  <c r="P65" i="11"/>
  <c r="K65" i="11"/>
  <c r="K57" i="11" s="1"/>
  <c r="K39" i="11" s="1"/>
  <c r="K22" i="11" s="1"/>
  <c r="K199" i="11" s="1"/>
  <c r="I41" i="11"/>
  <c r="I35" i="11"/>
  <c r="I29" i="11"/>
  <c r="J199" i="11"/>
  <c r="I24" i="11"/>
  <c r="T199" i="10"/>
  <c r="S199" i="10"/>
  <c r="T193" i="10"/>
  <c r="S193" i="10"/>
  <c r="T192" i="10"/>
  <c r="S192" i="10"/>
  <c r="I192" i="10"/>
  <c r="I191" i="10" s="1"/>
  <c r="I173" i="10" s="1"/>
  <c r="T191" i="10"/>
  <c r="S191" i="10"/>
  <c r="S190" i="10"/>
  <c r="S189" i="10"/>
  <c r="T188" i="10"/>
  <c r="S188" i="10"/>
  <c r="T187" i="10"/>
  <c r="S187" i="10"/>
  <c r="M187" i="10"/>
  <c r="S186" i="10"/>
  <c r="S185" i="10"/>
  <c r="S184" i="10"/>
  <c r="S183" i="10"/>
  <c r="T182" i="10"/>
  <c r="S182" i="10"/>
  <c r="S181" i="10"/>
  <c r="S180" i="10"/>
  <c r="T179" i="10"/>
  <c r="S179" i="10"/>
  <c r="S178" i="10"/>
  <c r="T177" i="10"/>
  <c r="S177" i="10"/>
  <c r="T176" i="10"/>
  <c r="S176" i="10"/>
  <c r="T175" i="10"/>
  <c r="S175" i="10"/>
  <c r="T174" i="10"/>
  <c r="S174" i="10"/>
  <c r="M174" i="10"/>
  <c r="T173" i="10"/>
  <c r="S173" i="10"/>
  <c r="T172" i="10"/>
  <c r="S172" i="10"/>
  <c r="T171" i="10"/>
  <c r="S171" i="10"/>
  <c r="T170" i="10"/>
  <c r="S170" i="10"/>
  <c r="T169" i="10"/>
  <c r="S169" i="10"/>
  <c r="S168" i="10"/>
  <c r="S167" i="10"/>
  <c r="I165" i="10"/>
  <c r="S164" i="10"/>
  <c r="T163" i="10"/>
  <c r="S163" i="10"/>
  <c r="T162" i="10"/>
  <c r="S162" i="10"/>
  <c r="T161" i="10"/>
  <c r="S161" i="10"/>
  <c r="T160" i="10"/>
  <c r="S160" i="10"/>
  <c r="T159" i="10"/>
  <c r="S159" i="10"/>
  <c r="S158" i="10"/>
  <c r="T157" i="10"/>
  <c r="S157" i="10"/>
  <c r="T156" i="10"/>
  <c r="S156" i="10"/>
  <c r="T155" i="10"/>
  <c r="S155" i="10"/>
  <c r="T154" i="10"/>
  <c r="S154" i="10"/>
  <c r="T153" i="10"/>
  <c r="S153" i="10"/>
  <c r="S152" i="10"/>
  <c r="T151" i="10"/>
  <c r="S151" i="10"/>
  <c r="T150" i="10"/>
  <c r="S150" i="10"/>
  <c r="T149" i="10"/>
  <c r="S149" i="10"/>
  <c r="T148" i="10"/>
  <c r="S148" i="10"/>
  <c r="T147" i="10"/>
  <c r="S147" i="10"/>
  <c r="T146" i="10"/>
  <c r="S146" i="10"/>
  <c r="T145" i="10"/>
  <c r="S145" i="10"/>
  <c r="T144" i="10"/>
  <c r="S144" i="10"/>
  <c r="I144" i="10"/>
  <c r="T143" i="10"/>
  <c r="S143" i="10"/>
  <c r="T142" i="10"/>
  <c r="S142" i="10"/>
  <c r="T141" i="10"/>
  <c r="S141" i="10"/>
  <c r="T140" i="10"/>
  <c r="S140" i="10"/>
  <c r="T138" i="10"/>
  <c r="S138" i="10"/>
  <c r="T137" i="10"/>
  <c r="S137" i="10"/>
  <c r="T136" i="10"/>
  <c r="S136" i="10"/>
  <c r="T135" i="10"/>
  <c r="S135" i="10"/>
  <c r="T134" i="10"/>
  <c r="S134" i="10"/>
  <c r="T133" i="10"/>
  <c r="S133" i="10"/>
  <c r="T132" i="10"/>
  <c r="S132" i="10"/>
  <c r="I132" i="10"/>
  <c r="I131" i="10" s="1"/>
  <c r="T131" i="10"/>
  <c r="S131" i="10"/>
  <c r="T130" i="10"/>
  <c r="S130" i="10"/>
  <c r="S129" i="10"/>
  <c r="T128" i="10"/>
  <c r="S128" i="10"/>
  <c r="T127" i="10"/>
  <c r="S127" i="10"/>
  <c r="T126" i="10"/>
  <c r="S126" i="10"/>
  <c r="T125" i="10"/>
  <c r="S125" i="10"/>
  <c r="T124" i="10"/>
  <c r="S124" i="10"/>
  <c r="T123" i="10"/>
  <c r="S123" i="10"/>
  <c r="S122" i="10"/>
  <c r="S121" i="10"/>
  <c r="T120" i="10"/>
  <c r="S120" i="10"/>
  <c r="S119" i="10"/>
  <c r="S118" i="10"/>
  <c r="S117" i="10"/>
  <c r="T116" i="10"/>
  <c r="S116" i="10"/>
  <c r="T115" i="10"/>
  <c r="S115" i="10"/>
  <c r="T114" i="10"/>
  <c r="S114" i="10"/>
  <c r="I114" i="10"/>
  <c r="T113" i="10"/>
  <c r="T112" i="10"/>
  <c r="S112" i="10"/>
  <c r="T111" i="10"/>
  <c r="S111" i="10"/>
  <c r="T110" i="10"/>
  <c r="S110" i="10"/>
  <c r="T109" i="10"/>
  <c r="S109" i="10"/>
  <c r="S108" i="10"/>
  <c r="T107" i="10"/>
  <c r="S107" i="10"/>
  <c r="T106" i="10"/>
  <c r="S106" i="10"/>
  <c r="T105" i="10"/>
  <c r="S105" i="10"/>
  <c r="T104" i="10"/>
  <c r="S104" i="10"/>
  <c r="S103" i="10"/>
  <c r="T101" i="10"/>
  <c r="S101" i="10"/>
  <c r="T100" i="10"/>
  <c r="S100" i="10"/>
  <c r="T99" i="10"/>
  <c r="S99" i="10"/>
  <c r="T98" i="10"/>
  <c r="S98" i="10"/>
  <c r="T97" i="10"/>
  <c r="S97" i="10"/>
  <c r="T96" i="10"/>
  <c r="S96" i="10"/>
  <c r="T95" i="10"/>
  <c r="S95" i="10"/>
  <c r="T94" i="10"/>
  <c r="S94" i="10"/>
  <c r="L94" i="10"/>
  <c r="T93" i="10"/>
  <c r="S93" i="10"/>
  <c r="T92" i="10"/>
  <c r="S92" i="10"/>
  <c r="T91" i="10"/>
  <c r="S91" i="10"/>
  <c r="S90" i="10"/>
  <c r="T89" i="10"/>
  <c r="S89" i="10"/>
  <c r="T88" i="10"/>
  <c r="S88" i="10"/>
  <c r="T86" i="10"/>
  <c r="S86" i="10"/>
  <c r="T84" i="10"/>
  <c r="S84" i="10"/>
  <c r="T83" i="10"/>
  <c r="S83" i="10"/>
  <c r="L83" i="10"/>
  <c r="I83" i="10"/>
  <c r="T82" i="10"/>
  <c r="S82" i="10"/>
  <c r="T81" i="10"/>
  <c r="S81" i="10"/>
  <c r="T80" i="10"/>
  <c r="S80" i="10"/>
  <c r="T79" i="10"/>
  <c r="S79" i="10"/>
  <c r="T78" i="10"/>
  <c r="S78" i="10"/>
  <c r="T77" i="10"/>
  <c r="S77" i="10"/>
  <c r="T76" i="10"/>
  <c r="S76" i="10"/>
  <c r="T75" i="10"/>
  <c r="S75" i="10"/>
  <c r="T74" i="10"/>
  <c r="S74" i="10"/>
  <c r="T73" i="10"/>
  <c r="S73" i="10"/>
  <c r="T71" i="10"/>
  <c r="S71" i="10"/>
  <c r="T70" i="10"/>
  <c r="S70" i="10"/>
  <c r="T68" i="10"/>
  <c r="S68" i="10"/>
  <c r="T67" i="10"/>
  <c r="S67" i="10"/>
  <c r="P65" i="10"/>
  <c r="K65" i="10"/>
  <c r="T64" i="10"/>
  <c r="S64" i="10"/>
  <c r="T63" i="10"/>
  <c r="S63" i="10"/>
  <c r="T62" i="10"/>
  <c r="S62" i="10"/>
  <c r="S61" i="10"/>
  <c r="T60" i="10"/>
  <c r="S60" i="10"/>
  <c r="T59" i="10"/>
  <c r="S59" i="10"/>
  <c r="T58" i="10"/>
  <c r="S58" i="10"/>
  <c r="T57" i="10"/>
  <c r="S57" i="10"/>
  <c r="K57" i="10"/>
  <c r="S53" i="10"/>
  <c r="T52" i="10"/>
  <c r="S52" i="10"/>
  <c r="T51" i="10"/>
  <c r="S51" i="10"/>
  <c r="T50" i="10"/>
  <c r="T49" i="10" s="1"/>
  <c r="S50" i="10"/>
  <c r="S49" i="10" s="1"/>
  <c r="O40" i="10"/>
  <c r="O39" i="10" s="1"/>
  <c r="S47" i="10"/>
  <c r="T46" i="10"/>
  <c r="S46" i="10"/>
  <c r="S45" i="10"/>
  <c r="T44" i="10"/>
  <c r="S44" i="10"/>
  <c r="T43" i="10"/>
  <c r="S43" i="10"/>
  <c r="T42" i="10"/>
  <c r="S42" i="10"/>
  <c r="T41" i="10"/>
  <c r="S41" i="10"/>
  <c r="I41" i="10"/>
  <c r="T40" i="10"/>
  <c r="S40" i="10"/>
  <c r="J40" i="10"/>
  <c r="T39" i="10"/>
  <c r="S39" i="10"/>
  <c r="J39" i="10"/>
  <c r="T38" i="10"/>
  <c r="S38" i="10"/>
  <c r="T37" i="10"/>
  <c r="S37" i="10"/>
  <c r="T36" i="10"/>
  <c r="S36" i="10"/>
  <c r="T35" i="10"/>
  <c r="S35" i="10"/>
  <c r="O35" i="10"/>
  <c r="J35" i="10"/>
  <c r="I35" i="10"/>
  <c r="T34" i="10"/>
  <c r="S34" i="10"/>
  <c r="T33" i="10"/>
  <c r="S33" i="10"/>
  <c r="S32" i="10"/>
  <c r="S31" i="10"/>
  <c r="T30" i="10"/>
  <c r="S30" i="10"/>
  <c r="T29" i="10"/>
  <c r="S29" i="10"/>
  <c r="O29" i="10"/>
  <c r="J29" i="10"/>
  <c r="I29" i="10"/>
  <c r="T28" i="10"/>
  <c r="S28" i="10"/>
  <c r="T27" i="10"/>
  <c r="S27" i="10"/>
  <c r="T26" i="10"/>
  <c r="S26" i="10"/>
  <c r="T25" i="10"/>
  <c r="S25" i="10"/>
  <c r="T24" i="10"/>
  <c r="S24" i="10"/>
  <c r="O24" i="10"/>
  <c r="J24" i="10"/>
  <c r="I24" i="10"/>
  <c r="T23" i="10"/>
  <c r="S23" i="10"/>
  <c r="T22" i="10"/>
  <c r="S22" i="10"/>
  <c r="E40" i="5"/>
  <c r="D114" i="5"/>
  <c r="E67" i="5"/>
  <c r="G67" i="5"/>
  <c r="O35" i="5"/>
  <c r="O24" i="5"/>
  <c r="O29" i="5"/>
  <c r="O49" i="5"/>
  <c r="O40" i="5" s="1"/>
  <c r="O39" i="5" s="1"/>
  <c r="J35" i="5"/>
  <c r="J29" i="5"/>
  <c r="J24" i="5"/>
  <c r="S40" i="5"/>
  <c r="J49" i="5"/>
  <c r="J40" i="5" s="1"/>
  <c r="J39" i="5" s="1"/>
  <c r="G49" i="5"/>
  <c r="E35" i="5"/>
  <c r="E29" i="5"/>
  <c r="E24" i="5"/>
  <c r="J23" i="10" l="1"/>
  <c r="M174" i="11"/>
  <c r="I40" i="11"/>
  <c r="I131" i="11"/>
  <c r="I173" i="11"/>
  <c r="I135" i="11"/>
  <c r="D199" i="11"/>
  <c r="I23" i="11"/>
  <c r="I82" i="11"/>
  <c r="I82" i="10"/>
  <c r="L82" i="10"/>
  <c r="L39" i="10" s="1"/>
  <c r="L22" i="10" s="1"/>
  <c r="L199" i="10" s="1"/>
  <c r="M173" i="10"/>
  <c r="M169" i="10" s="1"/>
  <c r="M199" i="10" s="1"/>
  <c r="I40" i="10"/>
  <c r="I23" i="10"/>
  <c r="K39" i="10"/>
  <c r="K22" i="10" s="1"/>
  <c r="K199" i="10" s="1"/>
  <c r="I135" i="10"/>
  <c r="I164" i="10"/>
  <c r="I169" i="10"/>
  <c r="J23" i="5"/>
  <c r="J22" i="5" s="1"/>
  <c r="J199" i="5" s="1"/>
  <c r="E23" i="5"/>
  <c r="O23" i="5"/>
  <c r="O22" i="5" s="1"/>
  <c r="O199" i="5" s="1"/>
  <c r="P57" i="10"/>
  <c r="P57" i="11"/>
  <c r="L82" i="11"/>
  <c r="L39" i="11" s="1"/>
  <c r="L22" i="11" s="1"/>
  <c r="L199" i="11" s="1"/>
  <c r="O199" i="11"/>
  <c r="I164" i="11"/>
  <c r="O23" i="10"/>
  <c r="O22" i="10" s="1"/>
  <c r="O199" i="10" s="1"/>
  <c r="J22" i="10"/>
  <c r="J199" i="10" s="1"/>
  <c r="G167" i="5"/>
  <c r="G160" i="5"/>
  <c r="G149" i="5"/>
  <c r="G65" i="5"/>
  <c r="P65" i="5"/>
  <c r="P57" i="5" s="1"/>
  <c r="P39" i="5" s="1"/>
  <c r="P22" i="5" s="1"/>
  <c r="P199" i="5" s="1"/>
  <c r="K65" i="5"/>
  <c r="K57" i="5" s="1"/>
  <c r="K39" i="5" s="1"/>
  <c r="K22" i="5" s="1"/>
  <c r="K199" i="5" s="1"/>
  <c r="E83" i="5"/>
  <c r="E57" i="5"/>
  <c r="E132" i="5"/>
  <c r="E131" i="5" s="1"/>
  <c r="E105" i="5"/>
  <c r="E99" i="5"/>
  <c r="M187" i="5"/>
  <c r="M174" i="5" s="1"/>
  <c r="M173" i="5" s="1"/>
  <c r="M169" i="5" s="1"/>
  <c r="M199" i="5" s="1"/>
  <c r="D105" i="5"/>
  <c r="D41" i="5"/>
  <c r="D40" i="5" s="1"/>
  <c r="D58" i="5"/>
  <c r="D142" i="5"/>
  <c r="D124" i="5"/>
  <c r="D78" i="5"/>
  <c r="D132" i="5"/>
  <c r="D131" i="5" s="1"/>
  <c r="D140" i="5"/>
  <c r="D136" i="5"/>
  <c r="D67" i="5"/>
  <c r="D83" i="5"/>
  <c r="D89" i="5"/>
  <c r="D94" i="5"/>
  <c r="D120" i="5"/>
  <c r="D111" i="5"/>
  <c r="I165" i="5"/>
  <c r="I164" i="5" s="1"/>
  <c r="I169" i="11" l="1"/>
  <c r="I39" i="11"/>
  <c r="M173" i="11"/>
  <c r="M169" i="11" s="1"/>
  <c r="M199" i="11" s="1"/>
  <c r="I39" i="10"/>
  <c r="P39" i="10"/>
  <c r="P39" i="11"/>
  <c r="D135" i="5"/>
  <c r="E82" i="5"/>
  <c r="E39" i="5" s="1"/>
  <c r="E22" i="5" s="1"/>
  <c r="E199" i="5" s="1"/>
  <c r="D57" i="5"/>
  <c r="D82" i="5"/>
  <c r="G192" i="5"/>
  <c r="G191" i="5" s="1"/>
  <c r="G175" i="5"/>
  <c r="G179" i="5"/>
  <c r="G183" i="5"/>
  <c r="G189" i="5"/>
  <c r="G187" i="5"/>
  <c r="G171" i="5"/>
  <c r="G170" i="5" s="1"/>
  <c r="G164" i="5"/>
  <c r="G156" i="5"/>
  <c r="G151" i="5"/>
  <c r="G144" i="5"/>
  <c r="G142" i="5"/>
  <c r="G140" i="5"/>
  <c r="G136" i="5"/>
  <c r="G132" i="5"/>
  <c r="G131" i="5" s="1"/>
  <c r="G124" i="5"/>
  <c r="G120" i="5"/>
  <c r="G114" i="5"/>
  <c r="G111" i="5"/>
  <c r="G105" i="5"/>
  <c r="E89" i="5"/>
  <c r="G99" i="5"/>
  <c r="G94" i="5"/>
  <c r="G83" i="5"/>
  <c r="G89" i="5"/>
  <c r="G80" i="5"/>
  <c r="G78" i="5"/>
  <c r="G73" i="5"/>
  <c r="G58" i="5"/>
  <c r="G51" i="5"/>
  <c r="G41" i="5"/>
  <c r="G40" i="5" s="1"/>
  <c r="E174" i="5"/>
  <c r="E173" i="5" s="1"/>
  <c r="E169" i="5" s="1"/>
  <c r="S146" i="5"/>
  <c r="S145" i="5"/>
  <c r="T199" i="5"/>
  <c r="T193" i="5"/>
  <c r="T192" i="5"/>
  <c r="T188" i="5"/>
  <c r="T191" i="5"/>
  <c r="T187" i="5"/>
  <c r="T182" i="5"/>
  <c r="T179" i="5"/>
  <c r="T177" i="5"/>
  <c r="T176" i="5"/>
  <c r="T175" i="5"/>
  <c r="T174" i="5"/>
  <c r="T173" i="5"/>
  <c r="T172" i="5"/>
  <c r="T171" i="5"/>
  <c r="T170" i="5"/>
  <c r="T169" i="5"/>
  <c r="T163" i="5"/>
  <c r="T162" i="5"/>
  <c r="T161" i="5"/>
  <c r="T160" i="5"/>
  <c r="T159" i="5"/>
  <c r="T157" i="5"/>
  <c r="T156" i="5"/>
  <c r="T155" i="5"/>
  <c r="T154" i="5"/>
  <c r="T153" i="5"/>
  <c r="T151" i="5"/>
  <c r="T150" i="5"/>
  <c r="T149" i="5"/>
  <c r="T148" i="5"/>
  <c r="T147" i="5"/>
  <c r="T146" i="5"/>
  <c r="T145" i="5"/>
  <c r="T144" i="5"/>
  <c r="T143" i="5"/>
  <c r="T142" i="5"/>
  <c r="T141" i="5"/>
  <c r="T140" i="5"/>
  <c r="T138" i="5"/>
  <c r="T137" i="5"/>
  <c r="T136" i="5"/>
  <c r="T135" i="5"/>
  <c r="T134" i="5"/>
  <c r="T133" i="5"/>
  <c r="T132" i="5"/>
  <c r="T131" i="5"/>
  <c r="T130" i="5"/>
  <c r="T128" i="5"/>
  <c r="T127" i="5"/>
  <c r="T126" i="5"/>
  <c r="T125" i="5"/>
  <c r="T124" i="5"/>
  <c r="T123" i="5"/>
  <c r="T120" i="5"/>
  <c r="T116" i="5"/>
  <c r="T115" i="5"/>
  <c r="T114" i="5"/>
  <c r="T113" i="5"/>
  <c r="T112" i="5"/>
  <c r="T111" i="5"/>
  <c r="T110" i="5"/>
  <c r="T109" i="5"/>
  <c r="T107" i="5"/>
  <c r="T106" i="5"/>
  <c r="T105" i="5"/>
  <c r="T104" i="5"/>
  <c r="T101" i="5"/>
  <c r="T100" i="5"/>
  <c r="T99" i="5"/>
  <c r="T98" i="5"/>
  <c r="T97" i="5"/>
  <c r="T96" i="5"/>
  <c r="T95" i="5"/>
  <c r="T94" i="5"/>
  <c r="T93" i="5"/>
  <c r="T92" i="5"/>
  <c r="T91" i="5"/>
  <c r="T89" i="5"/>
  <c r="T88" i="5"/>
  <c r="T86" i="5"/>
  <c r="T84" i="5"/>
  <c r="T83" i="5"/>
  <c r="T82" i="5"/>
  <c r="T81" i="5"/>
  <c r="T80" i="5"/>
  <c r="T79" i="5"/>
  <c r="T78" i="5"/>
  <c r="T77" i="5"/>
  <c r="T76" i="5"/>
  <c r="T75" i="5"/>
  <c r="T74" i="5"/>
  <c r="T73" i="5"/>
  <c r="T71" i="5"/>
  <c r="T70" i="5"/>
  <c r="T68" i="5"/>
  <c r="T67" i="5"/>
  <c r="T64" i="5"/>
  <c r="T63" i="5"/>
  <c r="T62" i="5"/>
  <c r="T60" i="5"/>
  <c r="T59" i="5"/>
  <c r="T58" i="5"/>
  <c r="T57" i="5"/>
  <c r="T52" i="5"/>
  <c r="T51" i="5"/>
  <c r="T50" i="5"/>
  <c r="T49" i="5" s="1"/>
  <c r="T46" i="5"/>
  <c r="T44" i="5"/>
  <c r="T43" i="5"/>
  <c r="T42" i="5"/>
  <c r="T41" i="5"/>
  <c r="T40" i="5"/>
  <c r="T39" i="5"/>
  <c r="T38" i="5"/>
  <c r="T37" i="5"/>
  <c r="T36" i="5"/>
  <c r="T35" i="5"/>
  <c r="T34" i="5"/>
  <c r="T33" i="5"/>
  <c r="T30" i="5"/>
  <c r="T29" i="5"/>
  <c r="T28" i="5"/>
  <c r="T27" i="5"/>
  <c r="T26" i="5"/>
  <c r="T25" i="5"/>
  <c r="T24" i="5"/>
  <c r="T23" i="5"/>
  <c r="T22" i="5"/>
  <c r="S199" i="5"/>
  <c r="S193" i="5"/>
  <c r="S192" i="5"/>
  <c r="S191" i="5"/>
  <c r="S190" i="5"/>
  <c r="S189" i="5"/>
  <c r="S188" i="5"/>
  <c r="S187" i="5"/>
  <c r="S186" i="5"/>
  <c r="S185" i="5"/>
  <c r="S184" i="5"/>
  <c r="S183" i="5"/>
  <c r="S182" i="5"/>
  <c r="S181" i="5"/>
  <c r="S180" i="5"/>
  <c r="S179" i="5"/>
  <c r="S178" i="5"/>
  <c r="S177" i="5"/>
  <c r="S176" i="5"/>
  <c r="S175" i="5"/>
  <c r="S174" i="5"/>
  <c r="S173" i="5"/>
  <c r="S172" i="5"/>
  <c r="S171" i="5"/>
  <c r="S170" i="5"/>
  <c r="S169" i="5"/>
  <c r="S168" i="5"/>
  <c r="S167" i="5"/>
  <c r="S164" i="5"/>
  <c r="S163" i="5"/>
  <c r="S162" i="5"/>
  <c r="S161" i="5"/>
  <c r="S160" i="5"/>
  <c r="S159" i="5"/>
  <c r="S158" i="5"/>
  <c r="S157" i="5"/>
  <c r="S156" i="5"/>
  <c r="S155" i="5"/>
  <c r="S154" i="5"/>
  <c r="S153" i="5"/>
  <c r="S152" i="5"/>
  <c r="S151" i="5"/>
  <c r="S150" i="5"/>
  <c r="S149" i="5"/>
  <c r="S148" i="5"/>
  <c r="S147" i="5"/>
  <c r="S144" i="5"/>
  <c r="S143" i="5"/>
  <c r="S142" i="5"/>
  <c r="S141" i="5"/>
  <c r="S140" i="5"/>
  <c r="S138" i="5"/>
  <c r="S137" i="5"/>
  <c r="S136" i="5"/>
  <c r="S135" i="5"/>
  <c r="S134" i="5"/>
  <c r="S133" i="5"/>
  <c r="S132" i="5"/>
  <c r="S131" i="5"/>
  <c r="S130" i="5"/>
  <c r="S129" i="5"/>
  <c r="S128" i="5"/>
  <c r="S127" i="5"/>
  <c r="S126" i="5"/>
  <c r="S125" i="5"/>
  <c r="S124" i="5"/>
  <c r="S123" i="5"/>
  <c r="S122" i="5"/>
  <c r="S121" i="5"/>
  <c r="S120" i="5"/>
  <c r="S119" i="5"/>
  <c r="S118" i="5"/>
  <c r="S117" i="5"/>
  <c r="S116" i="5"/>
  <c r="S115" i="5"/>
  <c r="S114" i="5"/>
  <c r="S112" i="5"/>
  <c r="S111" i="5"/>
  <c r="S110" i="5"/>
  <c r="S109" i="5"/>
  <c r="S108" i="5"/>
  <c r="S107" i="5"/>
  <c r="S106" i="5"/>
  <c r="S105" i="5"/>
  <c r="S104" i="5"/>
  <c r="S103" i="5"/>
  <c r="S101" i="5"/>
  <c r="S100" i="5"/>
  <c r="S99" i="5"/>
  <c r="S98" i="5"/>
  <c r="S97" i="5"/>
  <c r="S96" i="5"/>
  <c r="S95" i="5"/>
  <c r="S94" i="5"/>
  <c r="S93" i="5"/>
  <c r="S92" i="5"/>
  <c r="S91" i="5"/>
  <c r="S90" i="5"/>
  <c r="S89" i="5"/>
  <c r="S88" i="5"/>
  <c r="S86" i="5"/>
  <c r="S84" i="5"/>
  <c r="S83" i="5"/>
  <c r="S82" i="5"/>
  <c r="S81" i="5"/>
  <c r="S80" i="5"/>
  <c r="S79" i="5"/>
  <c r="S78" i="5"/>
  <c r="S77" i="5"/>
  <c r="S76" i="5"/>
  <c r="S75" i="5"/>
  <c r="S74" i="5"/>
  <c r="S73" i="5"/>
  <c r="S71" i="5"/>
  <c r="S70" i="5"/>
  <c r="S68" i="5"/>
  <c r="S67" i="5"/>
  <c r="S64" i="5"/>
  <c r="S63" i="5"/>
  <c r="S62" i="5"/>
  <c r="S61" i="5"/>
  <c r="S60" i="5"/>
  <c r="S59" i="5"/>
  <c r="S58" i="5"/>
  <c r="S57" i="5"/>
  <c r="S53" i="5"/>
  <c r="S52" i="5"/>
  <c r="S51" i="5"/>
  <c r="S50" i="5"/>
  <c r="S49" i="5" s="1"/>
  <c r="S47" i="5"/>
  <c r="S46" i="5"/>
  <c r="S45" i="5"/>
  <c r="S44" i="5"/>
  <c r="S43" i="5"/>
  <c r="S42" i="5"/>
  <c r="S41" i="5"/>
  <c r="S39" i="5"/>
  <c r="S38" i="5"/>
  <c r="S37" i="5"/>
  <c r="S36" i="5"/>
  <c r="S35" i="5"/>
  <c r="S34" i="5"/>
  <c r="S33" i="5"/>
  <c r="S32" i="5"/>
  <c r="S31" i="5"/>
  <c r="S30" i="5"/>
  <c r="S29" i="5"/>
  <c r="S28" i="5"/>
  <c r="S27" i="5"/>
  <c r="S26" i="5"/>
  <c r="S25" i="5"/>
  <c r="S24" i="5"/>
  <c r="S23" i="5"/>
  <c r="S22" i="5"/>
  <c r="I22" i="11" l="1"/>
  <c r="I22" i="10"/>
  <c r="P22" i="10"/>
  <c r="P22" i="11"/>
  <c r="G57" i="5"/>
  <c r="G135" i="5"/>
  <c r="G155" i="5"/>
  <c r="G154" i="5" s="1"/>
  <c r="D39" i="5"/>
  <c r="G174" i="5"/>
  <c r="G82" i="5"/>
  <c r="L94" i="5"/>
  <c r="L83" i="5"/>
  <c r="I83" i="5"/>
  <c r="I144" i="5"/>
  <c r="I135" i="5" s="1"/>
  <c r="I192" i="5"/>
  <c r="I191" i="5" s="1"/>
  <c r="I173" i="5" s="1"/>
  <c r="I169" i="5" s="1"/>
  <c r="I132" i="5"/>
  <c r="I131" i="5" s="1"/>
  <c r="I114" i="5"/>
  <c r="I41" i="5"/>
  <c r="I40" i="5" s="1"/>
  <c r="I35" i="5"/>
  <c r="I29" i="5"/>
  <c r="I24" i="5"/>
  <c r="F29" i="5"/>
  <c r="F23" i="5" s="1"/>
  <c r="F22" i="5" s="1"/>
  <c r="F199" i="5" s="1"/>
  <c r="I199" i="11" l="1"/>
  <c r="I199" i="10"/>
  <c r="P199" i="10"/>
  <c r="P199" i="11"/>
  <c r="I82" i="5"/>
  <c r="I39" i="5" s="1"/>
  <c r="D22" i="5"/>
  <c r="D199" i="5" s="1"/>
  <c r="G39" i="5"/>
  <c r="G22" i="5" s="1"/>
  <c r="G173" i="5"/>
  <c r="G169" i="5" s="1"/>
  <c r="L82" i="5"/>
  <c r="L39" i="5" s="1"/>
  <c r="L22" i="5" s="1"/>
  <c r="L199" i="5" s="1"/>
  <c r="I23" i="5"/>
  <c r="D11" i="6"/>
  <c r="D8" i="6"/>
  <c r="C11" i="6"/>
  <c r="C8" i="6"/>
  <c r="D14" i="6" l="1"/>
  <c r="C14" i="6"/>
  <c r="I22" i="5"/>
  <c r="I199" i="5" s="1"/>
  <c r="G199" i="5"/>
  <c r="B11" i="6"/>
  <c r="B8" i="6"/>
  <c r="B14" i="6" l="1"/>
</calcChain>
</file>

<file path=xl/sharedStrings.xml><?xml version="1.0" encoding="utf-8"?>
<sst xmlns="http://schemas.openxmlformats.org/spreadsheetml/2006/main" count="786" uniqueCount="266">
  <si>
    <t>Naziv računa</t>
  </si>
  <si>
    <t>Donacije</t>
  </si>
  <si>
    <t>Ostali nespomenuti rashodi poslovanja</t>
  </si>
  <si>
    <t xml:space="preserve">Rashodi za materijal i energiju </t>
  </si>
  <si>
    <t xml:space="preserve">Rashodi za usluge </t>
  </si>
  <si>
    <t>Financijski rashodi</t>
  </si>
  <si>
    <t xml:space="preserve">Ostali financijski rashodi </t>
  </si>
  <si>
    <t xml:space="preserve">Rashodi za zaposlene </t>
  </si>
  <si>
    <t>Prihodi za posebne namjene</t>
  </si>
  <si>
    <t>Opći prihodi i primici</t>
  </si>
  <si>
    <t>M.P.</t>
  </si>
  <si>
    <t>Pomoći</t>
  </si>
  <si>
    <t>Obrazac JLP(R)S FP-RiI</t>
  </si>
  <si>
    <t>Korisnik proračuna</t>
  </si>
  <si>
    <t>Prihodi i primici</t>
  </si>
  <si>
    <t>Ukupno</t>
  </si>
  <si>
    <t>Brojčana oznaka i naziv glavnog programa</t>
  </si>
  <si>
    <t>Račun rashoda/izdatka</t>
  </si>
  <si>
    <t>Ostali rashodi za zaposlene</t>
  </si>
  <si>
    <t>Materijalni rashodi</t>
  </si>
  <si>
    <t xml:space="preserve">Plaće   </t>
  </si>
  <si>
    <t xml:space="preserve">Rashodi za nabavu proizvodne dugotrajne imovine </t>
  </si>
  <si>
    <t xml:space="preserve">Postrojenja i oprema </t>
  </si>
  <si>
    <t xml:space="preserve">Knjige, umjetnička djela </t>
  </si>
  <si>
    <t>Namjenski primici od zaduživ.</t>
  </si>
  <si>
    <t xml:space="preserve">UKUPNO </t>
  </si>
  <si>
    <t>Doprinosi na plaće</t>
  </si>
  <si>
    <t>Nakn.tr.osob.izvan rad.odn.</t>
  </si>
  <si>
    <t>Ulaganja u računalne prog.</t>
  </si>
  <si>
    <t>Plaće za redovan rad</t>
  </si>
  <si>
    <t>Dop.za obv.zdrav.osig.</t>
  </si>
  <si>
    <t>Službena putovanja</t>
  </si>
  <si>
    <t>Stručno usavršavanje</t>
  </si>
  <si>
    <t>Uredski materijal</t>
  </si>
  <si>
    <t>Električna energija</t>
  </si>
  <si>
    <t>Mat.i dij.za tek.i inv.održ.</t>
  </si>
  <si>
    <t>Sitan inventar i auto gume</t>
  </si>
  <si>
    <t>Usluge tel.,pošte i prijevoza</t>
  </si>
  <si>
    <t>Usl. Tek.i inv.održ.opreme</t>
  </si>
  <si>
    <t>Usl. Promidžbe i informiranja</t>
  </si>
  <si>
    <t>Komunalne usluge</t>
  </si>
  <si>
    <t>Zdravst. I veterin.usluge</t>
  </si>
  <si>
    <t>Intelektualne i osobne usluge</t>
  </si>
  <si>
    <t>Računalne usluge</t>
  </si>
  <si>
    <t>Ostale usluge</t>
  </si>
  <si>
    <t>Reprezentacija</t>
  </si>
  <si>
    <t>Članarine</t>
  </si>
  <si>
    <t>Bank.usl.i usl.plat.prometa</t>
  </si>
  <si>
    <t>Uredska oprema i namještaj</t>
  </si>
  <si>
    <t>Komunikacijska oprema</t>
  </si>
  <si>
    <t>Sportska i glazbena oprema</t>
  </si>
  <si>
    <t>Ostala oprema</t>
  </si>
  <si>
    <t>Knjige</t>
  </si>
  <si>
    <t>Zatezne kamate</t>
  </si>
  <si>
    <t>Premije osiguranja</t>
  </si>
  <si>
    <t>Pristojbe i naknade</t>
  </si>
  <si>
    <t>Oprema za održavanje i zaštitu</t>
  </si>
  <si>
    <t>Nakn. Za koriš. Osob. Aut. U sl. svrhe</t>
  </si>
  <si>
    <t>Sl.rad.i zašt.odjeća i obuća</t>
  </si>
  <si>
    <t>Prihodi od financijske imovine</t>
  </si>
  <si>
    <t>Naknade troškova zaposlenima</t>
  </si>
  <si>
    <t>Zakupnine i najamnine</t>
  </si>
  <si>
    <t>Nematerijalna imovina</t>
  </si>
  <si>
    <t>Ostala prava</t>
  </si>
  <si>
    <t>Rashodi za nabavu neproizvedene dugotrajne imovine</t>
  </si>
  <si>
    <t>Negativne tečajne razlike</t>
  </si>
  <si>
    <t>GLAZBENA ŠKOLA JOSIPA RUNJANINA</t>
  </si>
  <si>
    <t>Materijal i sirovine</t>
  </si>
  <si>
    <t>Umjetnička djela- izložena u galerijama</t>
  </si>
  <si>
    <t>Brojčana oznaka i naziv programa:  8532 Tehničko i strukovno obrazovanje</t>
  </si>
  <si>
    <t>Brojčana oznaka funkcijske klasifikacije:   912 Osnovno obrazovanje</t>
  </si>
  <si>
    <t>Brojčana oznaka lokacijske klasifikacije:   487 Vinkovci</t>
  </si>
  <si>
    <t>Dnevnice za sl. put u zemlji</t>
  </si>
  <si>
    <t>Dnevnice za sl.put u inozemstvu</t>
  </si>
  <si>
    <t>Naknada za smještaj na sl.put u zemlji</t>
  </si>
  <si>
    <t>Naknada za smještaj na sl. putu u inozemstvu</t>
  </si>
  <si>
    <t>Naknade za prijevoz na sl.putu u zemlji</t>
  </si>
  <si>
    <t>Naknade za prijevoz na sl.putu u inozemstvu</t>
  </si>
  <si>
    <t>Dnevnice Per Diem</t>
  </si>
  <si>
    <t>Seminari,savjetovanja i simpoziji</t>
  </si>
  <si>
    <t>Tečajevi i stručni ispiti</t>
  </si>
  <si>
    <t>Ostale naknade tr.zaposlenima</t>
  </si>
  <si>
    <t>Literatura,publik.,časop.i glasila</t>
  </si>
  <si>
    <t>Arhivski materijal</t>
  </si>
  <si>
    <t>Mater.i sred.za čišć.i održavanje</t>
  </si>
  <si>
    <t>Mater.za higij.potrebe i njegu</t>
  </si>
  <si>
    <t>Ostali mater.za potrebe red.poslov.</t>
  </si>
  <si>
    <t>Topla voda, toplana</t>
  </si>
  <si>
    <t>Plin</t>
  </si>
  <si>
    <t>Motorni benzin i dizel gorivo</t>
  </si>
  <si>
    <t>Ostali mater.za proiz.energ,ugljen, drvo</t>
  </si>
  <si>
    <t>Usluge telefona,telefaxa</t>
  </si>
  <si>
    <t>Poštarina, pisma,tiskanice</t>
  </si>
  <si>
    <t>Mat.i dij.za tek.i inv.održ. Građ.objekata</t>
  </si>
  <si>
    <t>Ostali mat.i dijelovi za tek.i inv.održ.</t>
  </si>
  <si>
    <t>Tisak</t>
  </si>
  <si>
    <t>Ostale usluge promidž.i inform.</t>
  </si>
  <si>
    <t>Uslug.tek.i inv.održ.građ.objekata</t>
  </si>
  <si>
    <t>Usluge tek. I invest.održ.postr. I opreme</t>
  </si>
  <si>
    <t>Usluge tek. I invest.održ.prijevoz.sredst.</t>
  </si>
  <si>
    <t>Opskrba vodom</t>
  </si>
  <si>
    <t>Iznašanje i odvoz smeća</t>
  </si>
  <si>
    <t>Deratizacija i dezinsekcija</t>
  </si>
  <si>
    <t>Dimnjačarske i ekološke usluge</t>
  </si>
  <si>
    <t>Ostale komunalne usluge</t>
  </si>
  <si>
    <t>Zakupnine i najamnine za građ.objekte</t>
  </si>
  <si>
    <t>Zakupnine i najamnine za opremu</t>
  </si>
  <si>
    <t>Obvezni i preventivni zdravst.pregl.zap.</t>
  </si>
  <si>
    <t>Autorski honorari</t>
  </si>
  <si>
    <t>Ugovori o djelu</t>
  </si>
  <si>
    <t>Usluge odvjetnika i pravnog savjetovanja</t>
  </si>
  <si>
    <t>Ostale intelektualne usluge</t>
  </si>
  <si>
    <t>Usluge razvoja sotvarea</t>
  </si>
  <si>
    <t>Ostale računalne usluge</t>
  </si>
  <si>
    <t>Film i izrada fotografija</t>
  </si>
  <si>
    <t>Usluga čuvanja imovine i osoba</t>
  </si>
  <si>
    <t>Ostale nespomenute usluge</t>
  </si>
  <si>
    <t>Premija osiguranja zaposlenih</t>
  </si>
  <si>
    <t>Tuzemne članarine</t>
  </si>
  <si>
    <t>Usluge banaka</t>
  </si>
  <si>
    <t>Rashodi protokola(vijenci,svijeće,cvijeće)</t>
  </si>
  <si>
    <t>Grafičke i tiskars.usl.,usluge kopiranja,uvezivanja</t>
  </si>
  <si>
    <t>Naknade troškova službenog puta</t>
  </si>
  <si>
    <t>Računala i računalna oprema</t>
  </si>
  <si>
    <t>Ostala uredska oprema</t>
  </si>
  <si>
    <t>Ostala oprema za održavanje i zaštitu</t>
  </si>
  <si>
    <t>Glazbeni instrumenti i oprema</t>
  </si>
  <si>
    <t>Djela likovnih umjetnika</t>
  </si>
  <si>
    <t>Javnobilježničke pristojbe</t>
  </si>
  <si>
    <t>Premija osiguranja prijevoz.sredstava</t>
  </si>
  <si>
    <t>Premija osiguranja ostale imovine</t>
  </si>
  <si>
    <t>Naknada ostalih troškova</t>
  </si>
  <si>
    <t>Usluge pri registraciji prijevoz.sredstava</t>
  </si>
  <si>
    <t>Usluge ažuriranja računalnih baza</t>
  </si>
  <si>
    <t>Ostale zakupnine i najamine</t>
  </si>
  <si>
    <t>Ostale usluge za komunikaciju i prijevoz</t>
  </si>
  <si>
    <t>Rent a car i taxy prijevoz</t>
  </si>
  <si>
    <t>Usluge interneta</t>
  </si>
  <si>
    <t>Zakupnine i najamnine za prijevozna sredstva</t>
  </si>
  <si>
    <t>Čišćenje i pranje</t>
  </si>
  <si>
    <t>Ostale usluge tek.invest.održavanja</t>
  </si>
  <si>
    <t>Uredski namještaj</t>
  </si>
  <si>
    <t>Oprema za ventilaciju,grijanje i hlađenje</t>
  </si>
  <si>
    <t>Vlastiti prihodi</t>
  </si>
  <si>
    <t>Brojčana oznaka i naziv aktivnosti:  01887211</t>
  </si>
  <si>
    <t>Telefoni i ostali uređaji</t>
  </si>
  <si>
    <t>Novč.naknada zbog nezapoš.invalida</t>
  </si>
  <si>
    <t>Radio i TV prijemnici</t>
  </si>
  <si>
    <t>Ostala komunikacijska oprema</t>
  </si>
  <si>
    <t>Oprema za održavanje prostorija</t>
  </si>
  <si>
    <t>Naknade za prijevoz na posao i sa posla</t>
  </si>
  <si>
    <t>Elektronski mediji</t>
  </si>
  <si>
    <t>Promidžbeni materijali</t>
  </si>
  <si>
    <t>Usluge platnog prometa</t>
  </si>
  <si>
    <t>Mat.i dij.za tek.i inv.održ. postrojenja i opreme</t>
  </si>
  <si>
    <t>Usluge agencija, studentskog servisa</t>
  </si>
  <si>
    <t>___________________</t>
  </si>
  <si>
    <t xml:space="preserve">(Dinka Peti, mag.mus.) </t>
  </si>
  <si>
    <t>Licence</t>
  </si>
  <si>
    <t>Oprema</t>
  </si>
  <si>
    <t>Sudske pristojbe</t>
  </si>
  <si>
    <t>Ostale pristojbe i naknade</t>
  </si>
  <si>
    <t>Troškovi sudskih postupaka</t>
  </si>
  <si>
    <t>Plaće po sudskim presudama</t>
  </si>
  <si>
    <t>Plaće za prekovremeni rad</t>
  </si>
  <si>
    <t>Bruto plaće za smjenski rad</t>
  </si>
  <si>
    <t>Doprinos za zaštitu zdravlja</t>
  </si>
  <si>
    <t>Doprinos u slučaju nezaposl.</t>
  </si>
  <si>
    <t>Zatezne kamate za poreze</t>
  </si>
  <si>
    <t>Zatezne kamate za doprinose</t>
  </si>
  <si>
    <t>Ostale zatezne kamate</t>
  </si>
  <si>
    <t>Ostale naknade građanima iz proračuna</t>
  </si>
  <si>
    <t>Naknade građanima iz proračuna</t>
  </si>
  <si>
    <t>Ostale naknade iz proračuna u naravi</t>
  </si>
  <si>
    <t>EU sredstva</t>
  </si>
  <si>
    <t>Mat.i dij.za tek.i inv.održ. transportnih sredstava</t>
  </si>
  <si>
    <t>Prihodi od prodaje imovine</t>
  </si>
  <si>
    <t>Procjena 2024.</t>
  </si>
  <si>
    <t xml:space="preserve">OPĆI DIO </t>
  </si>
  <si>
    <t>PRIHODI UKUPNO</t>
  </si>
  <si>
    <t>PRIHODI POSLOVANJA</t>
  </si>
  <si>
    <t>PRIHODI OD PRODAJE NEFINANCIJSKE IMOVINE</t>
  </si>
  <si>
    <t>RASHODI UKUPNO</t>
  </si>
  <si>
    <t>RASHODI POSLOVANJA</t>
  </si>
  <si>
    <t>RASHODI ZA NEFINANCIJSKU IMOVINU</t>
  </si>
  <si>
    <t>RAZLIKA- VIŠAK / MANJAK</t>
  </si>
  <si>
    <t>PRIMICI OD FINANCIJSKE IMOVINE I ZADUŽIVANJA</t>
  </si>
  <si>
    <t>IZDACI ZA FINANCIJSU IMOVINU I OTPLATU ZAJMOVA</t>
  </si>
  <si>
    <t>NETO FINANCIRANJE</t>
  </si>
  <si>
    <t>VIŠAK / MANJAK + NETO FINANCIRANJE</t>
  </si>
  <si>
    <t>Projekcija plana za 2024.</t>
  </si>
  <si>
    <t>Ravnateljica: ______________________ (Dinka Peti, mag.mus.)</t>
  </si>
  <si>
    <t>Nagrade</t>
  </si>
  <si>
    <t>Ostali rashodi za nezaposlene</t>
  </si>
  <si>
    <t>Regres</t>
  </si>
  <si>
    <t>Naknade za bolest, invalidnost</t>
  </si>
  <si>
    <t>Darovi</t>
  </si>
  <si>
    <t xml:space="preserve">Višak iz 2022. </t>
  </si>
  <si>
    <t>Plan 2023.</t>
  </si>
  <si>
    <t>Procjena 2025.</t>
  </si>
  <si>
    <t xml:space="preserve">Plan 2023. </t>
  </si>
  <si>
    <t xml:space="preserve"> Procjena 2025.</t>
  </si>
  <si>
    <t xml:space="preserve">Novi plan za 2023. </t>
  </si>
  <si>
    <t>Projekcija plana za 2025.</t>
  </si>
  <si>
    <t>PRENESENI VIŠAK IZ 2022. GODINE</t>
  </si>
  <si>
    <t>u eurima</t>
  </si>
  <si>
    <t>u kunama</t>
  </si>
  <si>
    <t xml:space="preserve">Planirano za 2022. </t>
  </si>
  <si>
    <t xml:space="preserve">Izvršeno za 2022. </t>
  </si>
  <si>
    <t>Laboratorijske usluge</t>
  </si>
  <si>
    <t>Tečaj u eurima=</t>
  </si>
  <si>
    <t>Naknade građanima i kućanstvima u novcu</t>
  </si>
  <si>
    <t>Ostale naknade iz proračuna u novcu</t>
  </si>
  <si>
    <t>Namirnice</t>
  </si>
  <si>
    <t xml:space="preserve"> Procjena 2024.</t>
  </si>
  <si>
    <t>Naknade za prijevoz, za rad na terenu i odvojeni život</t>
  </si>
  <si>
    <t>DIO VIŠKA/MANJKA I PRETHODNE(IH) GODINA KOJI ĆE SE POKRITI/RASPOREDITI U RAZDOBLJU 2023.</t>
  </si>
  <si>
    <t xml:space="preserve">UKUPAN DONOS VIŠKA/MANJKA IZ PRETHODNE(IH) GODINA					</t>
  </si>
  <si>
    <t>PROJEKCIJA PLANA ZA 2024. I 2025. GODINU</t>
  </si>
  <si>
    <t>EKONOMSKA KLASIFKACIJA
(na petoj razini)</t>
  </si>
  <si>
    <t>NAZIV</t>
  </si>
  <si>
    <t>FINANCIJSKI PLAN ZA 2023.</t>
  </si>
  <si>
    <t>FINANCIJSKI PLAN ZA 2024.</t>
  </si>
  <si>
    <t>Tekuće pomoći iz državnog proračuna proračunskim korisnicima proračuna JLP(R)S-mzo</t>
  </si>
  <si>
    <t>Tekuće pomoći iz nenadležnog proračuna - VSŽ</t>
  </si>
  <si>
    <t>Kapitalne pomoći iz državnog proračuna prorač. korisnicima proračuna JLP(R)S</t>
  </si>
  <si>
    <t>Zatezne kamate iz obveznih odnosa i drugo</t>
  </si>
  <si>
    <t>Prihodi od pozitivnih tečajnih razlika</t>
  </si>
  <si>
    <t>Prihodi od pruženih usluga</t>
  </si>
  <si>
    <t>Prihodi iz nadležnog proračuna za financiranje rashoda poslovanja-dec.</t>
  </si>
  <si>
    <t>Prihodi iz nadležnog proračuna za financiranje rashoda poslovanja-gradska sredstva</t>
  </si>
  <si>
    <t>Prihodi iz nadležnog proračuna za financiranje rashoda za nabavu nefinancijske imovine</t>
  </si>
  <si>
    <t>Ostali prihodi</t>
  </si>
  <si>
    <t>Višak prihoda poslovanja</t>
  </si>
  <si>
    <t>FINANCIJSKI PLAN ZA 2025.</t>
  </si>
  <si>
    <t>Prihodi od prodaje glazbenih instrumenata</t>
  </si>
  <si>
    <t>Sufinanciranje cijene usluge, participacije i slično</t>
  </si>
  <si>
    <t>Tekući prijenosi između prorač. kor. istog prorač. temeljem prijenosa EU sredstva (asistenti)</t>
  </si>
  <si>
    <t>Tekući prijenosi između prorač. kor. istog prorač. temeljem prijenosa EU-država (asistenti)</t>
  </si>
  <si>
    <t>Tekući prijenosi između prorač. kor. istog prorač. temeljem prijenosa EU sredstva (shema)</t>
  </si>
  <si>
    <t>Tekući prijenosi između prorač. kor. istog prorač. temeljem prijenosa EU-država (shema)</t>
  </si>
  <si>
    <t>Tekuće donacije od fizičkih osoba</t>
  </si>
  <si>
    <t>Tekuće donacije od neprofitnih organizacija</t>
  </si>
  <si>
    <t>Tekuće donacije od trgovačkih društava</t>
  </si>
  <si>
    <t>Tekuće donacije od ostalih subjekata izvan proračuna</t>
  </si>
  <si>
    <t>Gradski  proračun- DEC. (1.2.1.)</t>
  </si>
  <si>
    <t>Gradski proračun (1.1.2.)</t>
  </si>
  <si>
    <t>Županijski proračun (5.2.1.)</t>
  </si>
  <si>
    <t>Vlastiti     (3.1.1.)</t>
  </si>
  <si>
    <t>Pomoći-asistenti  (5.1.1.)</t>
  </si>
  <si>
    <t>Pomoći-shema voća  (5.1.1.)</t>
  </si>
  <si>
    <t>Donacije (6.1.1.)</t>
  </si>
  <si>
    <t>Prihodi od nefin. Im. i nadoknade šteta s osnova osiguranja (3.1.1.)</t>
  </si>
  <si>
    <t>EU sredstva-asistenti (5.8.1.)</t>
  </si>
  <si>
    <t>EU sredstva-shema voća  (5.8.1.)</t>
  </si>
  <si>
    <t>Pomoći-ministarstvo (5.1.1. + 5.3.1. kapitalne)</t>
  </si>
  <si>
    <t xml:space="preserve"> </t>
  </si>
  <si>
    <t xml:space="preserve">Predsjednik Školskog odbora: </t>
  </si>
  <si>
    <t xml:space="preserve">(Tomislav Ćavar, dipl.iur.) </t>
  </si>
  <si>
    <t xml:space="preserve">   Ravnateljica:</t>
  </si>
  <si>
    <t>Predsjednik Školskog odbora: ___________________ (Tomislav Ćavar, dipl.iur.)</t>
  </si>
  <si>
    <t>Datum: 25.11.2022.</t>
  </si>
  <si>
    <t xml:space="preserve">Financijski plan - Plan rashoda i izdataka 2023. i procjene 2024. i 2025. </t>
  </si>
  <si>
    <t xml:space="preserve"> FINANCIJSKI PLAN GLAZBENE ŠKOLE JOSIPA RUNJANINA ZA 2023. </t>
  </si>
  <si>
    <t xml:space="preserve">                                 M.P.                                 25.11.2022.</t>
  </si>
  <si>
    <t xml:space="preserve">FINANCIJSKI PLAN GLAZBENE ŠKOLE JOSIPA RUNJANINA ZA 2023.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</si>
</sst>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k_n_-;\-* #,##0.00\ _k_n_-;_-* &quot;-&quot;??\ _k_n_-;_-@_-"/>
    <numFmt numFmtId="165" formatCode="#,##0.00\ _k_n"/>
    <numFmt numFmtId="166" formatCode="#,##0.00000"/>
  </numFmts>
  <fonts count="40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i/>
      <sz val="14"/>
      <name val="Arial"/>
      <family val="2"/>
      <charset val="238"/>
    </font>
    <font>
      <sz val="14"/>
      <name val="Times New Roman"/>
      <family val="1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sz val="14"/>
      <name val="Arial Narrow"/>
      <family val="2"/>
      <charset val="238"/>
    </font>
    <font>
      <b/>
      <sz val="14"/>
      <name val="Times New Roman"/>
      <family val="1"/>
    </font>
    <font>
      <b/>
      <sz val="14"/>
      <color theme="0"/>
      <name val="Arial"/>
      <family val="2"/>
      <charset val="238"/>
    </font>
    <font>
      <sz val="14"/>
      <color theme="0"/>
      <name val="Arial"/>
      <family val="2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sz val="20"/>
      <name val="Arial"/>
      <family val="2"/>
      <charset val="238"/>
    </font>
    <font>
      <b/>
      <sz val="20"/>
      <name val="Arial"/>
      <family val="2"/>
      <charset val="238"/>
    </font>
    <font>
      <sz val="20"/>
      <name val="Times New Roman"/>
      <family val="1"/>
    </font>
    <font>
      <b/>
      <sz val="14"/>
      <color rgb="FFFFFFFF"/>
      <name val="Arial"/>
      <family val="2"/>
      <charset val="238"/>
    </font>
    <font>
      <sz val="14"/>
      <color rgb="FFFFFFFF"/>
      <name val="Arial"/>
      <family val="2"/>
      <charset val="238"/>
    </font>
    <font>
      <b/>
      <sz val="14"/>
      <color rgb="FF000000"/>
      <name val="Arial"/>
      <family val="2"/>
      <charset val="238"/>
    </font>
    <font>
      <sz val="14"/>
      <color rgb="FF000000"/>
      <name val="Arial"/>
      <family val="2"/>
      <charset val="238"/>
    </font>
    <font>
      <b/>
      <sz val="14"/>
      <color rgb="FF0D0D0D"/>
      <name val="Arial"/>
      <family val="2"/>
      <charset val="238"/>
    </font>
    <font>
      <sz val="14"/>
      <color rgb="FF0D0D0D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sz val="16"/>
      <name val="Arial"/>
      <family val="2"/>
      <charset val="238"/>
    </font>
    <font>
      <sz val="16"/>
      <name val="Arial"/>
      <family val="2"/>
      <charset val="238"/>
    </font>
    <font>
      <sz val="16"/>
      <name val="Times New Roman"/>
      <family val="1"/>
    </font>
    <font>
      <sz val="16"/>
      <name val="Times New Roman"/>
      <family val="1"/>
      <charset val="238"/>
    </font>
    <font>
      <i/>
      <sz val="16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indexed="8"/>
      <name val="Arial"/>
      <family val="2"/>
      <charset val="238"/>
    </font>
    <font>
      <sz val="12"/>
      <color rgb="FF000000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4"/>
      <name val="Times New Roman"/>
      <family val="1"/>
      <charset val="238"/>
    </font>
    <font>
      <i/>
      <sz val="14"/>
      <name val="Times New Roman"/>
      <family val="1"/>
      <charset val="238"/>
    </font>
  </fonts>
  <fills count="1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D8D8D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0D0D0D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0" tint="-0.499984740745262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2">
    <xf numFmtId="0" fontId="0" fillId="0" borderId="0"/>
    <xf numFmtId="0" fontId="4" fillId="0" borderId="0"/>
    <xf numFmtId="164" fontId="3" fillId="0" borderId="0" applyFont="0" applyFill="0" applyBorder="0" applyAlignment="0" applyProtection="0"/>
    <xf numFmtId="0" fontId="2" fillId="0" borderId="0"/>
    <xf numFmtId="0" fontId="1" fillId="0" borderId="0"/>
    <xf numFmtId="0" fontId="15" fillId="0" borderId="0"/>
    <xf numFmtId="0" fontId="3" fillId="0" borderId="0"/>
    <xf numFmtId="164" fontId="3" fillId="0" borderId="0" applyFont="0" applyFill="0" applyBorder="0" applyAlignment="0" applyProtection="0"/>
    <xf numFmtId="0" fontId="1" fillId="0" borderId="0"/>
    <xf numFmtId="0" fontId="32" fillId="0" borderId="0"/>
    <xf numFmtId="164" fontId="31" fillId="0" borderId="0" applyFont="0" applyFill="0" applyBorder="0" applyAlignment="0" applyProtection="0"/>
    <xf numFmtId="0" fontId="32" fillId="0" borderId="0"/>
  </cellStyleXfs>
  <cellXfs count="382">
    <xf numFmtId="0" fontId="0" fillId="0" borderId="0" xfId="0"/>
    <xf numFmtId="3" fontId="7" fillId="0" borderId="0" xfId="0" applyNumberFormat="1" applyFont="1"/>
    <xf numFmtId="4" fontId="7" fillId="0" borderId="0" xfId="0" applyNumberFormat="1" applyFont="1"/>
    <xf numFmtId="0" fontId="9" fillId="0" borderId="0" xfId="0" applyFont="1" applyAlignment="1">
      <alignment horizontal="center" wrapText="1"/>
    </xf>
    <xf numFmtId="0" fontId="8" fillId="0" borderId="0" xfId="0" applyNumberFormat="1" applyFont="1" applyAlignment="1">
      <alignment horizontal="center" wrapText="1"/>
    </xf>
    <xf numFmtId="0" fontId="8" fillId="0" borderId="0" xfId="0" applyFont="1" applyAlignment="1">
      <alignment horizontal="center" wrapText="1"/>
    </xf>
    <xf numFmtId="3" fontId="8" fillId="0" borderId="1" xfId="0" quotePrefix="1" applyNumberFormat="1" applyFont="1" applyBorder="1" applyAlignment="1">
      <alignment horizontal="left"/>
    </xf>
    <xf numFmtId="3" fontId="9" fillId="0" borderId="0" xfId="0" applyNumberFormat="1" applyFont="1" applyBorder="1"/>
    <xf numFmtId="4" fontId="9" fillId="0" borderId="0" xfId="0" applyNumberFormat="1" applyFont="1" applyBorder="1"/>
    <xf numFmtId="3" fontId="9" fillId="0" borderId="0" xfId="0" applyNumberFormat="1" applyFont="1"/>
    <xf numFmtId="4" fontId="9" fillId="0" borderId="0" xfId="0" applyNumberFormat="1" applyFont="1"/>
    <xf numFmtId="3" fontId="8" fillId="0" borderId="0" xfId="0" applyNumberFormat="1" applyFont="1" applyAlignment="1">
      <alignment horizontal="left"/>
    </xf>
    <xf numFmtId="3" fontId="8" fillId="0" borderId="0" xfId="0" applyNumberFormat="1" applyFont="1"/>
    <xf numFmtId="4" fontId="8" fillId="0" borderId="0" xfId="0" applyNumberFormat="1" applyFont="1"/>
    <xf numFmtId="3" fontId="9" fillId="0" borderId="0" xfId="0" applyNumberFormat="1" applyFont="1" applyAlignment="1">
      <alignment wrapText="1"/>
    </xf>
    <xf numFmtId="0" fontId="10" fillId="0" borderId="0" xfId="0" applyNumberFormat="1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right"/>
    </xf>
    <xf numFmtId="3" fontId="10" fillId="0" borderId="0" xfId="0" applyNumberFormat="1" applyFont="1" applyAlignment="1">
      <alignment horizontal="center" vertical="center"/>
    </xf>
    <xf numFmtId="3" fontId="10" fillId="4" borderId="0" xfId="0" applyNumberFormat="1" applyFont="1" applyFill="1" applyAlignment="1">
      <alignment horizontal="center" vertical="center"/>
    </xf>
    <xf numFmtId="3" fontId="10" fillId="0" borderId="0" xfId="0" applyNumberFormat="1" applyFont="1" applyAlignment="1">
      <alignment horizontal="left" vertical="center"/>
    </xf>
    <xf numFmtId="4" fontId="8" fillId="0" borderId="2" xfId="0" quotePrefix="1" applyNumberFormat="1" applyFont="1" applyBorder="1" applyAlignment="1">
      <alignment horizontal="right" wrapText="1"/>
    </xf>
    <xf numFmtId="3" fontId="10" fillId="0" borderId="0" xfId="0" applyNumberFormat="1" applyFont="1" applyAlignment="1">
      <alignment horizontal="center"/>
    </xf>
    <xf numFmtId="164" fontId="9" fillId="0" borderId="0" xfId="2" applyFont="1" applyBorder="1"/>
    <xf numFmtId="4" fontId="8" fillId="4" borderId="0" xfId="0" applyNumberFormat="1" applyFont="1" applyFill="1" applyBorder="1"/>
    <xf numFmtId="164" fontId="8" fillId="0" borderId="0" xfId="2" applyFont="1" applyBorder="1"/>
    <xf numFmtId="0" fontId="7" fillId="0" borderId="0" xfId="0" applyNumberFormat="1" applyFont="1" applyAlignment="1">
      <alignment horizontal="center"/>
    </xf>
    <xf numFmtId="0" fontId="7" fillId="0" borderId="0" xfId="0" applyNumberFormat="1" applyFont="1"/>
    <xf numFmtId="3" fontId="7" fillId="0" borderId="0" xfId="0" applyNumberFormat="1" applyFont="1" applyAlignment="1">
      <alignment wrapText="1"/>
    </xf>
    <xf numFmtId="3" fontId="7" fillId="0" borderId="0" xfId="0" applyNumberFormat="1" applyFont="1" applyBorder="1"/>
    <xf numFmtId="3" fontId="8" fillId="0" borderId="0" xfId="0" quotePrefix="1" applyNumberFormat="1" applyFont="1" applyFill="1" applyBorder="1" applyAlignment="1">
      <alignment horizontal="left"/>
    </xf>
    <xf numFmtId="3" fontId="8" fillId="0" borderId="0" xfId="0" applyNumberFormat="1" applyFont="1" applyBorder="1"/>
    <xf numFmtId="3" fontId="7" fillId="4" borderId="0" xfId="0" applyNumberFormat="1" applyFont="1" applyFill="1"/>
    <xf numFmtId="3" fontId="11" fillId="3" borderId="0" xfId="0" applyNumberFormat="1" applyFont="1" applyFill="1"/>
    <xf numFmtId="3" fontId="11" fillId="4" borderId="0" xfId="0" applyNumberFormat="1" applyFont="1" applyFill="1"/>
    <xf numFmtId="0" fontId="9" fillId="0" borderId="4" xfId="0" applyNumberFormat="1" applyFont="1" applyBorder="1" applyAlignment="1">
      <alignment horizontal="center"/>
    </xf>
    <xf numFmtId="0" fontId="9" fillId="0" borderId="3" xfId="0" applyNumberFormat="1" applyFont="1" applyBorder="1" applyAlignment="1">
      <alignment horizontal="center"/>
    </xf>
    <xf numFmtId="3" fontId="7" fillId="7" borderId="0" xfId="0" applyNumberFormat="1" applyFont="1" applyFill="1"/>
    <xf numFmtId="0" fontId="9" fillId="7" borderId="2" xfId="0" applyNumberFormat="1" applyFont="1" applyFill="1" applyBorder="1" applyAlignment="1">
      <alignment horizontal="center"/>
    </xf>
    <xf numFmtId="0" fontId="9" fillId="7" borderId="2" xfId="0" applyNumberFormat="1" applyFont="1" applyFill="1" applyBorder="1" applyAlignment="1">
      <alignment horizontal="center" wrapText="1"/>
    </xf>
    <xf numFmtId="0" fontId="9" fillId="0" borderId="2" xfId="0" applyNumberFormat="1" applyFont="1" applyBorder="1" applyAlignment="1">
      <alignment horizontal="center"/>
    </xf>
    <xf numFmtId="0" fontId="9" fillId="0" borderId="2" xfId="0" applyNumberFormat="1" applyFont="1" applyBorder="1" applyAlignment="1">
      <alignment horizontal="center" wrapText="1"/>
    </xf>
    <xf numFmtId="0" fontId="9" fillId="4" borderId="2" xfId="0" applyNumberFormat="1" applyFont="1" applyFill="1" applyBorder="1" applyAlignment="1">
      <alignment horizontal="center"/>
    </xf>
    <xf numFmtId="0" fontId="9" fillId="4" borderId="2" xfId="0" applyNumberFormat="1" applyFont="1" applyFill="1" applyBorder="1" applyAlignment="1">
      <alignment horizontal="center" wrapText="1"/>
    </xf>
    <xf numFmtId="0" fontId="9" fillId="7" borderId="2" xfId="0" applyNumberFormat="1" applyFont="1" applyFill="1" applyBorder="1"/>
    <xf numFmtId="3" fontId="11" fillId="7" borderId="0" xfId="0" applyNumberFormat="1" applyFont="1" applyFill="1"/>
    <xf numFmtId="3" fontId="9" fillId="7" borderId="2" xfId="0" applyNumberFormat="1" applyFont="1" applyFill="1" applyBorder="1" applyAlignment="1">
      <alignment horizontal="center"/>
    </xf>
    <xf numFmtId="3" fontId="9" fillId="4" borderId="3" xfId="0" applyNumberFormat="1" applyFont="1" applyFill="1" applyBorder="1" applyAlignment="1">
      <alignment horizontal="center"/>
    </xf>
    <xf numFmtId="49" fontId="9" fillId="7" borderId="2" xfId="0" applyNumberFormat="1" applyFont="1" applyFill="1" applyBorder="1" applyAlignment="1">
      <alignment horizontal="center" shrinkToFit="1"/>
    </xf>
    <xf numFmtId="49" fontId="9" fillId="4" borderId="2" xfId="0" applyNumberFormat="1" applyFont="1" applyFill="1" applyBorder="1" applyAlignment="1">
      <alignment horizontal="center" shrinkToFit="1"/>
    </xf>
    <xf numFmtId="0" fontId="9" fillId="4" borderId="0" xfId="0" applyNumberFormat="1" applyFont="1" applyFill="1" applyBorder="1" applyAlignment="1">
      <alignment horizontal="center"/>
    </xf>
    <xf numFmtId="0" fontId="8" fillId="4" borderId="0" xfId="0" quotePrefix="1" applyNumberFormat="1" applyFont="1" applyFill="1" applyBorder="1" applyAlignment="1">
      <alignment horizontal="center" vertical="justify"/>
    </xf>
    <xf numFmtId="3" fontId="8" fillId="4" borderId="0" xfId="0" applyNumberFormat="1" applyFont="1" applyFill="1" applyBorder="1"/>
    <xf numFmtId="3" fontId="14" fillId="0" borderId="0" xfId="0" applyNumberFormat="1" applyFont="1"/>
    <xf numFmtId="3" fontId="8" fillId="0" borderId="0" xfId="0" applyNumberFormat="1" applyFont="1" applyBorder="1" applyAlignment="1">
      <alignment horizontal="center"/>
    </xf>
    <xf numFmtId="3" fontId="9" fillId="0" borderId="0" xfId="0" applyNumberFormat="1" applyFont="1" applyBorder="1" applyAlignment="1">
      <alignment horizontal="left" indent="1"/>
    </xf>
    <xf numFmtId="0" fontId="9" fillId="4" borderId="0" xfId="0" applyFont="1" applyFill="1" applyAlignment="1">
      <alignment horizontal="center" wrapText="1"/>
    </xf>
    <xf numFmtId="3" fontId="7" fillId="4" borderId="0" xfId="0" applyNumberFormat="1" applyFont="1" applyFill="1" applyAlignment="1">
      <alignment wrapText="1"/>
    </xf>
    <xf numFmtId="3" fontId="8" fillId="0" borderId="16" xfId="0" applyNumberFormat="1" applyFont="1" applyBorder="1" applyAlignment="1">
      <alignment horizontal="center" wrapText="1"/>
    </xf>
    <xf numFmtId="0" fontId="8" fillId="0" borderId="16" xfId="0" applyNumberFormat="1" applyFont="1" applyBorder="1" applyAlignment="1">
      <alignment horizontal="center" vertical="center" wrapText="1"/>
    </xf>
    <xf numFmtId="3" fontId="8" fillId="0" borderId="16" xfId="0" applyNumberFormat="1" applyFont="1" applyBorder="1" applyAlignment="1">
      <alignment horizontal="center"/>
    </xf>
    <xf numFmtId="4" fontId="9" fillId="0" borderId="2" xfId="0" applyNumberFormat="1" applyFont="1" applyBorder="1" applyAlignment="1">
      <alignment horizontal="right"/>
    </xf>
    <xf numFmtId="4" fontId="9" fillId="0" borderId="3" xfId="0" applyNumberFormat="1" applyFont="1" applyBorder="1" applyAlignment="1">
      <alignment horizontal="right"/>
    </xf>
    <xf numFmtId="4" fontId="9" fillId="7" borderId="2" xfId="0" applyNumberFormat="1" applyFont="1" applyFill="1" applyBorder="1" applyAlignment="1">
      <alignment horizontal="right"/>
    </xf>
    <xf numFmtId="165" fontId="9" fillId="0" borderId="2" xfId="0" applyNumberFormat="1" applyFont="1" applyBorder="1" applyAlignment="1">
      <alignment horizontal="right"/>
    </xf>
    <xf numFmtId="4" fontId="9" fillId="7" borderId="2" xfId="5" applyNumberFormat="1" applyFont="1" applyFill="1" applyBorder="1" applyAlignment="1">
      <alignment horizontal="right"/>
    </xf>
    <xf numFmtId="4" fontId="9" fillId="4" borderId="3" xfId="5" applyNumberFormat="1" applyFont="1" applyFill="1" applyBorder="1" applyAlignment="1">
      <alignment horizontal="right"/>
    </xf>
    <xf numFmtId="4" fontId="9" fillId="4" borderId="2" xfId="5" applyNumberFormat="1" applyFont="1" applyFill="1" applyBorder="1" applyAlignment="1">
      <alignment horizontal="right"/>
    </xf>
    <xf numFmtId="4" fontId="9" fillId="0" borderId="2" xfId="5" applyNumberFormat="1" applyFont="1" applyBorder="1" applyAlignment="1">
      <alignment horizontal="right"/>
    </xf>
    <xf numFmtId="4" fontId="9" fillId="0" borderId="3" xfId="5" applyNumberFormat="1" applyFont="1" applyBorder="1" applyAlignment="1">
      <alignment horizontal="right"/>
    </xf>
    <xf numFmtId="0" fontId="8" fillId="3" borderId="21" xfId="0" applyNumberFormat="1" applyFont="1" applyFill="1" applyBorder="1" applyAlignment="1">
      <alignment horizontal="center"/>
    </xf>
    <xf numFmtId="0" fontId="8" fillId="3" borderId="22" xfId="0" applyNumberFormat="1" applyFont="1" applyFill="1" applyBorder="1" applyAlignment="1">
      <alignment horizontal="center"/>
    </xf>
    <xf numFmtId="4" fontId="8" fillId="3" borderId="22" xfId="5" applyNumberFormat="1" applyFont="1" applyFill="1" applyBorder="1" applyAlignment="1">
      <alignment horizontal="right"/>
    </xf>
    <xf numFmtId="3" fontId="6" fillId="3" borderId="7" xfId="0" applyNumberFormat="1" applyFont="1" applyFill="1" applyBorder="1" applyAlignment="1">
      <alignment horizontal="center" vertical="center" wrapText="1"/>
    </xf>
    <xf numFmtId="3" fontId="8" fillId="3" borderId="8" xfId="0" applyNumberFormat="1" applyFont="1" applyFill="1" applyBorder="1" applyAlignment="1">
      <alignment horizontal="center" vertical="center"/>
    </xf>
    <xf numFmtId="4" fontId="8" fillId="3" borderId="8" xfId="0" applyNumberFormat="1" applyFont="1" applyFill="1" applyBorder="1" applyAlignment="1">
      <alignment horizontal="center" vertical="center" wrapText="1"/>
    </xf>
    <xf numFmtId="3" fontId="8" fillId="0" borderId="15" xfId="0" applyNumberFormat="1" applyFont="1" applyBorder="1" applyAlignment="1">
      <alignment horizontal="center" wrapText="1"/>
    </xf>
    <xf numFmtId="4" fontId="8" fillId="0" borderId="11" xfId="0" applyNumberFormat="1" applyFont="1" applyBorder="1" applyAlignment="1">
      <alignment horizontal="right"/>
    </xf>
    <xf numFmtId="3" fontId="10" fillId="0" borderId="0" xfId="0" applyNumberFormat="1" applyFont="1" applyBorder="1" applyAlignment="1">
      <alignment horizontal="left" vertical="center" wrapText="1"/>
    </xf>
    <xf numFmtId="3" fontId="10" fillId="0" borderId="0" xfId="0" applyNumberFormat="1" applyFont="1" applyBorder="1" applyAlignment="1">
      <alignment vertical="center" wrapText="1"/>
    </xf>
    <xf numFmtId="3" fontId="10" fillId="0" borderId="0" xfId="0" applyNumberFormat="1" applyFont="1" applyBorder="1" applyAlignment="1">
      <alignment vertical="center"/>
    </xf>
    <xf numFmtId="3" fontId="10" fillId="0" borderId="0" xfId="0" applyNumberFormat="1" applyFont="1" applyBorder="1" applyAlignment="1"/>
    <xf numFmtId="3" fontId="10" fillId="0" borderId="0" xfId="0" applyNumberFormat="1" applyFont="1" applyBorder="1" applyAlignment="1">
      <alignment wrapText="1"/>
    </xf>
    <xf numFmtId="3" fontId="9" fillId="0" borderId="0" xfId="0" applyNumberFormat="1" applyFont="1" applyAlignment="1"/>
    <xf numFmtId="3" fontId="10" fillId="0" borderId="0" xfId="0" applyNumberFormat="1" applyFont="1" applyBorder="1" applyAlignment="1">
      <alignment horizontal="left" vertical="center"/>
    </xf>
    <xf numFmtId="0" fontId="16" fillId="4" borderId="0" xfId="0" applyNumberFormat="1" applyFont="1" applyFill="1" applyBorder="1" applyAlignment="1">
      <alignment horizontal="center"/>
    </xf>
    <xf numFmtId="0" fontId="17" fillId="4" borderId="0" xfId="0" quotePrefix="1" applyNumberFormat="1" applyFont="1" applyFill="1" applyBorder="1" applyAlignment="1">
      <alignment horizontal="center" vertical="justify"/>
    </xf>
    <xf numFmtId="0" fontId="17" fillId="0" borderId="0" xfId="0" applyNumberFormat="1" applyFont="1" applyBorder="1" applyAlignment="1">
      <alignment horizontal="center"/>
    </xf>
    <xf numFmtId="0" fontId="16" fillId="0" borderId="0" xfId="0" applyNumberFormat="1" applyFont="1" applyBorder="1"/>
    <xf numFmtId="0" fontId="18" fillId="0" borderId="0" xfId="0" applyNumberFormat="1" applyFont="1" applyAlignment="1">
      <alignment horizontal="center"/>
    </xf>
    <xf numFmtId="0" fontId="18" fillId="0" borderId="0" xfId="0" applyNumberFormat="1" applyFont="1"/>
    <xf numFmtId="4" fontId="8" fillId="0" borderId="12" xfId="0" applyNumberFormat="1" applyFont="1" applyBorder="1" applyAlignment="1">
      <alignment horizontal="right"/>
    </xf>
    <xf numFmtId="4" fontId="8" fillId="0" borderId="18" xfId="0" applyNumberFormat="1" applyFont="1" applyBorder="1" applyAlignment="1">
      <alignment horizontal="right"/>
    </xf>
    <xf numFmtId="4" fontId="8" fillId="0" borderId="18" xfId="0" quotePrefix="1" applyNumberFormat="1" applyFont="1" applyBorder="1" applyAlignment="1">
      <alignment horizontal="right" wrapText="1"/>
    </xf>
    <xf numFmtId="0" fontId="9" fillId="0" borderId="31" xfId="0" applyNumberFormat="1" applyFont="1" applyBorder="1" applyAlignment="1">
      <alignment horizontal="center"/>
    </xf>
    <xf numFmtId="0" fontId="9" fillId="0" borderId="28" xfId="0" applyNumberFormat="1" applyFont="1" applyBorder="1" applyAlignment="1">
      <alignment horizontal="center"/>
    </xf>
    <xf numFmtId="0" fontId="9" fillId="7" borderId="16" xfId="0" applyNumberFormat="1" applyFont="1" applyFill="1" applyBorder="1" applyAlignment="1">
      <alignment horizontal="center"/>
    </xf>
    <xf numFmtId="0" fontId="9" fillId="0" borderId="16" xfId="0" applyNumberFormat="1" applyFont="1" applyBorder="1" applyAlignment="1">
      <alignment horizontal="center"/>
    </xf>
    <xf numFmtId="0" fontId="9" fillId="4" borderId="16" xfId="0" applyNumberFormat="1" applyFont="1" applyFill="1" applyBorder="1" applyAlignment="1">
      <alignment horizontal="center"/>
    </xf>
    <xf numFmtId="0" fontId="9" fillId="4" borderId="28" xfId="0" applyNumberFormat="1" applyFont="1" applyFill="1" applyBorder="1" applyAlignment="1">
      <alignment horizontal="center"/>
    </xf>
    <xf numFmtId="4" fontId="8" fillId="3" borderId="9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wrapText="1"/>
    </xf>
    <xf numFmtId="4" fontId="9" fillId="0" borderId="2" xfId="5" applyNumberFormat="1" applyFont="1" applyFill="1" applyBorder="1" applyAlignment="1">
      <alignment horizontal="right"/>
    </xf>
    <xf numFmtId="3" fontId="9" fillId="4" borderId="2" xfId="0" applyNumberFormat="1" applyFont="1" applyFill="1" applyBorder="1" applyAlignment="1">
      <alignment horizontal="center"/>
    </xf>
    <xf numFmtId="0" fontId="9" fillId="0" borderId="16" xfId="0" applyNumberFormat="1" applyFont="1" applyFill="1" applyBorder="1" applyAlignment="1">
      <alignment horizontal="center"/>
    </xf>
    <xf numFmtId="49" fontId="9" fillId="0" borderId="2" xfId="0" applyNumberFormat="1" applyFont="1" applyFill="1" applyBorder="1" applyAlignment="1">
      <alignment horizontal="center" shrinkToFit="1"/>
    </xf>
    <xf numFmtId="4" fontId="9" fillId="4" borderId="3" xfId="0" applyNumberFormat="1" applyFont="1" applyFill="1" applyBorder="1" applyAlignment="1">
      <alignment horizontal="right"/>
    </xf>
    <xf numFmtId="3" fontId="10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center" wrapText="1"/>
    </xf>
    <xf numFmtId="3" fontId="8" fillId="0" borderId="28" xfId="0" applyNumberFormat="1" applyFont="1" applyBorder="1" applyAlignment="1">
      <alignment horizontal="center"/>
    </xf>
    <xf numFmtId="4" fontId="8" fillId="0" borderId="3" xfId="0" applyNumberFormat="1" applyFont="1" applyBorder="1" applyAlignment="1">
      <alignment horizontal="right"/>
    </xf>
    <xf numFmtId="4" fontId="8" fillId="0" borderId="30" xfId="0" applyNumberFormat="1" applyFont="1" applyBorder="1" applyAlignment="1">
      <alignment horizontal="right"/>
    </xf>
    <xf numFmtId="4" fontId="8" fillId="11" borderId="22" xfId="0" applyNumberFormat="1" applyFont="1" applyFill="1" applyBorder="1" applyAlignment="1">
      <alignment horizontal="right"/>
    </xf>
    <xf numFmtId="4" fontId="9" fillId="12" borderId="3" xfId="0" applyNumberFormat="1" applyFont="1" applyFill="1" applyBorder="1" applyAlignment="1">
      <alignment horizontal="right"/>
    </xf>
    <xf numFmtId="165" fontId="9" fillId="13" borderId="2" xfId="0" applyNumberFormat="1" applyFont="1" applyFill="1" applyBorder="1" applyAlignment="1">
      <alignment horizontal="right"/>
    </xf>
    <xf numFmtId="165" fontId="9" fillId="12" borderId="2" xfId="0" applyNumberFormat="1" applyFont="1" applyFill="1" applyBorder="1" applyAlignment="1">
      <alignment horizontal="right"/>
    </xf>
    <xf numFmtId="4" fontId="9" fillId="12" borderId="3" xfId="5" applyNumberFormat="1" applyFont="1" applyFill="1" applyBorder="1" applyAlignment="1">
      <alignment horizontal="right"/>
    </xf>
    <xf numFmtId="4" fontId="9" fillId="13" borderId="2" xfId="5" applyNumberFormat="1" applyFont="1" applyFill="1" applyBorder="1" applyAlignment="1">
      <alignment horizontal="right"/>
    </xf>
    <xf numFmtId="4" fontId="9" fillId="12" borderId="2" xfId="5" applyNumberFormat="1" applyFont="1" applyFill="1" applyBorder="1" applyAlignment="1">
      <alignment horizontal="right"/>
    </xf>
    <xf numFmtId="4" fontId="9" fillId="13" borderId="2" xfId="0" applyNumberFormat="1" applyFont="1" applyFill="1" applyBorder="1" applyAlignment="1">
      <alignment horizontal="right"/>
    </xf>
    <xf numFmtId="4" fontId="8" fillId="11" borderId="22" xfId="5" applyNumberFormat="1" applyFont="1" applyFill="1" applyBorder="1" applyAlignment="1">
      <alignment horizontal="right"/>
    </xf>
    <xf numFmtId="165" fontId="22" fillId="13" borderId="2" xfId="8" applyNumberFormat="1" applyFont="1" applyFill="1" applyBorder="1" applyAlignment="1"/>
    <xf numFmtId="165" fontId="22" fillId="0" borderId="2" xfId="8" applyNumberFormat="1" applyFont="1" applyBorder="1" applyAlignment="1"/>
    <xf numFmtId="165" fontId="22" fillId="12" borderId="2" xfId="8" applyNumberFormat="1" applyFont="1" applyFill="1" applyBorder="1" applyAlignment="1"/>
    <xf numFmtId="165" fontId="22" fillId="0" borderId="3" xfId="8" applyNumberFormat="1" applyFont="1" applyBorder="1" applyAlignment="1"/>
    <xf numFmtId="4" fontId="8" fillId="11" borderId="22" xfId="0" applyNumberFormat="1" applyFont="1" applyFill="1" applyBorder="1" applyAlignment="1">
      <alignment horizontal="center" vertical="center" wrapText="1"/>
    </xf>
    <xf numFmtId="4" fontId="23" fillId="12" borderId="3" xfId="0" applyNumberFormat="1" applyFont="1" applyFill="1" applyBorder="1" applyAlignment="1">
      <alignment horizontal="center" vertical="center" wrapText="1"/>
    </xf>
    <xf numFmtId="4" fontId="23" fillId="13" borderId="2" xfId="0" applyNumberFormat="1" applyFont="1" applyFill="1" applyBorder="1" applyAlignment="1">
      <alignment horizontal="center" vertical="center" wrapText="1"/>
    </xf>
    <xf numFmtId="4" fontId="23" fillId="12" borderId="2" xfId="0" applyNumberFormat="1" applyFont="1" applyFill="1" applyBorder="1" applyAlignment="1">
      <alignment horizontal="center" vertical="center" wrapText="1"/>
    </xf>
    <xf numFmtId="4" fontId="24" fillId="12" borderId="2" xfId="0" applyNumberFormat="1" applyFont="1" applyFill="1" applyBorder="1" applyAlignment="1">
      <alignment horizontal="center" vertical="center" wrapText="1"/>
    </xf>
    <xf numFmtId="4" fontId="9" fillId="12" borderId="2" xfId="0" applyNumberFormat="1" applyFont="1" applyFill="1" applyBorder="1" applyAlignment="1">
      <alignment horizontal="right"/>
    </xf>
    <xf numFmtId="4" fontId="0" fillId="0" borderId="0" xfId="0" applyNumberFormat="1"/>
    <xf numFmtId="0" fontId="27" fillId="0" borderId="0" xfId="6" applyFont="1"/>
    <xf numFmtId="4" fontId="26" fillId="4" borderId="2" xfId="6" applyNumberFormat="1" applyFont="1" applyFill="1" applyBorder="1" applyAlignment="1">
      <alignment horizontal="right" wrapText="1"/>
    </xf>
    <xf numFmtId="4" fontId="27" fillId="4" borderId="2" xfId="6" applyNumberFormat="1" applyFont="1" applyFill="1" applyBorder="1" applyAlignment="1">
      <alignment horizontal="right" wrapText="1"/>
    </xf>
    <xf numFmtId="4" fontId="27" fillId="4" borderId="18" xfId="6" applyNumberFormat="1" applyFont="1" applyFill="1" applyBorder="1" applyAlignment="1">
      <alignment horizontal="right" wrapText="1"/>
    </xf>
    <xf numFmtId="0" fontId="27" fillId="4" borderId="39" xfId="6" applyNumberFormat="1" applyFont="1" applyFill="1" applyBorder="1" applyAlignment="1">
      <alignment horizontal="left" wrapText="1"/>
    </xf>
    <xf numFmtId="4" fontId="27" fillId="4" borderId="40" xfId="6" applyNumberFormat="1" applyFont="1" applyFill="1" applyBorder="1" applyAlignment="1">
      <alignment horizontal="right" wrapText="1"/>
    </xf>
    <xf numFmtId="4" fontId="27" fillId="4" borderId="41" xfId="6" applyNumberFormat="1" applyFont="1" applyFill="1" applyBorder="1" applyAlignment="1">
      <alignment horizontal="right" wrapText="1"/>
    </xf>
    <xf numFmtId="0" fontId="27" fillId="4" borderId="42" xfId="6" applyNumberFormat="1" applyFont="1" applyFill="1" applyBorder="1" applyAlignment="1">
      <alignment horizontal="left"/>
    </xf>
    <xf numFmtId="4" fontId="27" fillId="4" borderId="43" xfId="6" applyNumberFormat="1" applyFont="1" applyFill="1" applyBorder="1" applyAlignment="1">
      <alignment horizontal="right"/>
    </xf>
    <xf numFmtId="4" fontId="27" fillId="4" borderId="44" xfId="6" applyNumberFormat="1" applyFont="1" applyFill="1" applyBorder="1" applyAlignment="1">
      <alignment horizontal="right"/>
    </xf>
    <xf numFmtId="0" fontId="27" fillId="4" borderId="19" xfId="6" applyNumberFormat="1" applyFont="1" applyFill="1" applyBorder="1"/>
    <xf numFmtId="4" fontId="27" fillId="4" borderId="38" xfId="6" applyNumberFormat="1" applyFont="1" applyFill="1" applyBorder="1" applyAlignment="1">
      <alignment horizontal="right"/>
    </xf>
    <xf numFmtId="4" fontId="27" fillId="4" borderId="20" xfId="6" applyNumberFormat="1" applyFont="1" applyFill="1" applyBorder="1" applyAlignment="1">
      <alignment horizontal="right"/>
    </xf>
    <xf numFmtId="4" fontId="30" fillId="4" borderId="0" xfId="6" applyNumberFormat="1" applyFont="1" applyFill="1" applyBorder="1" applyAlignment="1">
      <alignment horizontal="right"/>
    </xf>
    <xf numFmtId="0" fontId="27" fillId="4" borderId="21" xfId="6" applyNumberFormat="1" applyFont="1" applyFill="1" applyBorder="1" applyAlignment="1">
      <alignment horizontal="left"/>
    </xf>
    <xf numFmtId="4" fontId="26" fillId="4" borderId="22" xfId="6" applyNumberFormat="1" applyFont="1" applyFill="1" applyBorder="1" applyAlignment="1">
      <alignment horizontal="right"/>
    </xf>
    <xf numFmtId="4" fontId="26" fillId="4" borderId="23" xfId="6" applyNumberFormat="1" applyFont="1" applyFill="1" applyBorder="1" applyAlignment="1">
      <alignment horizontal="right"/>
    </xf>
    <xf numFmtId="0" fontId="27" fillId="4" borderId="0" xfId="6" applyNumberFormat="1" applyFont="1" applyFill="1" applyBorder="1" applyAlignment="1">
      <alignment horizontal="left"/>
    </xf>
    <xf numFmtId="4" fontId="26" fillId="4" borderId="0" xfId="6" applyNumberFormat="1" applyFont="1" applyFill="1" applyBorder="1" applyAlignment="1">
      <alignment horizontal="right"/>
    </xf>
    <xf numFmtId="0" fontId="27" fillId="0" borderId="0" xfId="0" applyFont="1"/>
    <xf numFmtId="0" fontId="9" fillId="0" borderId="0" xfId="0" applyFont="1"/>
    <xf numFmtId="3" fontId="8" fillId="3" borderId="21" xfId="0" applyNumberFormat="1" applyFont="1" applyFill="1" applyBorder="1" applyAlignment="1">
      <alignment horizontal="center"/>
    </xf>
    <xf numFmtId="4" fontId="8" fillId="3" borderId="22" xfId="0" applyNumberFormat="1" applyFont="1" applyFill="1" applyBorder="1"/>
    <xf numFmtId="4" fontId="8" fillId="3" borderId="23" xfId="0" applyNumberFormat="1" applyFont="1" applyFill="1" applyBorder="1"/>
    <xf numFmtId="3" fontId="8" fillId="3" borderId="32" xfId="0" applyNumberFormat="1" applyFont="1" applyFill="1" applyBorder="1" applyAlignment="1">
      <alignment horizontal="center"/>
    </xf>
    <xf numFmtId="4" fontId="8" fillId="3" borderId="6" xfId="0" applyNumberFormat="1" applyFont="1" applyFill="1" applyBorder="1"/>
    <xf numFmtId="4" fontId="8" fillId="3" borderId="10" xfId="0" applyNumberFormat="1" applyFont="1" applyFill="1" applyBorder="1"/>
    <xf numFmtId="0" fontId="8" fillId="0" borderId="31" xfId="0" applyNumberFormat="1" applyFont="1" applyBorder="1" applyAlignment="1">
      <alignment horizontal="center" wrapText="1"/>
    </xf>
    <xf numFmtId="165" fontId="9" fillId="0" borderId="4" xfId="0" applyNumberFormat="1" applyFont="1" applyBorder="1"/>
    <xf numFmtId="165" fontId="9" fillId="0" borderId="45" xfId="0" applyNumberFormat="1" applyFont="1" applyBorder="1"/>
    <xf numFmtId="0" fontId="26" fillId="4" borderId="24" xfId="6" applyFont="1" applyFill="1" applyBorder="1"/>
    <xf numFmtId="49" fontId="26" fillId="4" borderId="8" xfId="6" applyNumberFormat="1" applyFont="1" applyFill="1" applyBorder="1" applyAlignment="1">
      <alignment horizontal="center" wrapText="1"/>
    </xf>
    <xf numFmtId="49" fontId="26" fillId="4" borderId="37" xfId="6" applyNumberFormat="1" applyFont="1" applyFill="1" applyBorder="1" applyAlignment="1">
      <alignment horizontal="center" wrapText="1"/>
    </xf>
    <xf numFmtId="0" fontId="26" fillId="4" borderId="15" xfId="6" applyFont="1" applyFill="1" applyBorder="1"/>
    <xf numFmtId="4" fontId="26" fillId="4" borderId="11" xfId="6" applyNumberFormat="1" applyFont="1" applyFill="1" applyBorder="1" applyAlignment="1">
      <alignment horizontal="right" wrapText="1"/>
    </xf>
    <xf numFmtId="4" fontId="26" fillId="4" borderId="12" xfId="6" applyNumberFormat="1" applyFont="1" applyFill="1" applyBorder="1" applyAlignment="1">
      <alignment horizontal="right" wrapText="1"/>
    </xf>
    <xf numFmtId="0" fontId="27" fillId="4" borderId="16" xfId="6" applyFont="1" applyFill="1" applyBorder="1"/>
    <xf numFmtId="4" fontId="26" fillId="4" borderId="18" xfId="6" applyNumberFormat="1" applyFont="1" applyFill="1" applyBorder="1" applyAlignment="1">
      <alignment horizontal="right" wrapText="1"/>
    </xf>
    <xf numFmtId="0" fontId="26" fillId="4" borderId="16" xfId="6" applyFont="1" applyFill="1" applyBorder="1"/>
    <xf numFmtId="3" fontId="26" fillId="4" borderId="32" xfId="6" applyNumberFormat="1" applyFont="1" applyFill="1" applyBorder="1" applyAlignment="1">
      <alignment horizontal="left"/>
    </xf>
    <xf numFmtId="4" fontId="26" fillId="3" borderId="6" xfId="6" applyNumberFormat="1" applyFont="1" applyFill="1" applyBorder="1" applyAlignment="1">
      <alignment horizontal="right"/>
    </xf>
    <xf numFmtId="4" fontId="26" fillId="3" borderId="10" xfId="6" applyNumberFormat="1" applyFont="1" applyFill="1" applyBorder="1" applyAlignment="1">
      <alignment horizontal="right"/>
    </xf>
    <xf numFmtId="3" fontId="10" fillId="0" borderId="0" xfId="0" applyNumberFormat="1" applyFont="1" applyBorder="1" applyAlignment="1">
      <alignment horizontal="left" vertical="center" wrapText="1"/>
    </xf>
    <xf numFmtId="0" fontId="9" fillId="0" borderId="0" xfId="0" applyFont="1" applyAlignment="1">
      <alignment horizontal="center" wrapText="1"/>
    </xf>
    <xf numFmtId="4" fontId="8" fillId="11" borderId="23" xfId="0" applyNumberFormat="1" applyFont="1" applyFill="1" applyBorder="1" applyAlignment="1">
      <alignment horizontal="center" vertical="center" wrapText="1"/>
    </xf>
    <xf numFmtId="4" fontId="24" fillId="12" borderId="18" xfId="0" applyNumberFormat="1" applyFont="1" applyFill="1" applyBorder="1" applyAlignment="1">
      <alignment horizontal="center" vertical="center" wrapText="1"/>
    </xf>
    <xf numFmtId="0" fontId="30" fillId="4" borderId="17" xfId="6" applyNumberFormat="1" applyFont="1" applyFill="1" applyBorder="1"/>
    <xf numFmtId="4" fontId="30" fillId="4" borderId="47" xfId="6" applyNumberFormat="1" applyFont="1" applyFill="1" applyBorder="1" applyAlignment="1">
      <alignment horizontal="right"/>
    </xf>
    <xf numFmtId="4" fontId="23" fillId="15" borderId="3" xfId="0" applyNumberFormat="1" applyFont="1" applyFill="1" applyBorder="1" applyAlignment="1">
      <alignment horizontal="center" vertical="center" wrapText="1"/>
    </xf>
    <xf numFmtId="0" fontId="27" fillId="0" borderId="0" xfId="6" applyFont="1" applyAlignment="1">
      <alignment horizontal="right"/>
    </xf>
    <xf numFmtId="3" fontId="8" fillId="3" borderId="22" xfId="0" applyNumberFormat="1" applyFont="1" applyFill="1" applyBorder="1" applyAlignment="1">
      <alignment horizontal="center" wrapText="1"/>
    </xf>
    <xf numFmtId="4" fontId="23" fillId="11" borderId="22" xfId="0" applyNumberFormat="1" applyFont="1" applyFill="1" applyBorder="1" applyAlignment="1">
      <alignment horizontal="center" vertical="center" wrapText="1"/>
    </xf>
    <xf numFmtId="165" fontId="21" fillId="11" borderId="22" xfId="8" applyNumberFormat="1" applyFont="1" applyFill="1" applyBorder="1" applyAlignment="1"/>
    <xf numFmtId="4" fontId="23" fillId="11" borderId="23" xfId="0" applyNumberFormat="1" applyFont="1" applyFill="1" applyBorder="1" applyAlignment="1">
      <alignment horizontal="center" vertical="center" wrapText="1"/>
    </xf>
    <xf numFmtId="165" fontId="9" fillId="12" borderId="3" xfId="0" applyNumberFormat="1" applyFont="1" applyFill="1" applyBorder="1" applyAlignment="1">
      <alignment horizontal="right"/>
    </xf>
    <xf numFmtId="165" fontId="22" fillId="12" borderId="3" xfId="8" applyNumberFormat="1" applyFont="1" applyFill="1" applyBorder="1" applyAlignment="1"/>
    <xf numFmtId="4" fontId="19" fillId="14" borderId="22" xfId="0" applyNumberFormat="1" applyFont="1" applyFill="1" applyBorder="1" applyAlignment="1">
      <alignment horizontal="center" vertical="center" wrapText="1"/>
    </xf>
    <xf numFmtId="4" fontId="19" fillId="14" borderId="23" xfId="0" applyNumberFormat="1" applyFont="1" applyFill="1" applyBorder="1" applyAlignment="1">
      <alignment horizontal="center" vertical="center" wrapText="1"/>
    </xf>
    <xf numFmtId="4" fontId="24" fillId="12" borderId="4" xfId="0" applyNumberFormat="1" applyFont="1" applyFill="1" applyBorder="1" applyAlignment="1">
      <alignment horizontal="center" vertical="center" wrapText="1"/>
    </xf>
    <xf numFmtId="4" fontId="24" fillId="12" borderId="3" xfId="0" applyNumberFormat="1" applyFont="1" applyFill="1" applyBorder="1" applyAlignment="1">
      <alignment horizontal="center" vertical="center" wrapText="1"/>
    </xf>
    <xf numFmtId="4" fontId="24" fillId="13" borderId="4" xfId="0" applyNumberFormat="1" applyFont="1" applyFill="1" applyBorder="1" applyAlignment="1">
      <alignment horizontal="center" vertical="center" wrapText="1"/>
    </xf>
    <xf numFmtId="4" fontId="24" fillId="13" borderId="2" xfId="0" applyNumberFormat="1" applyFont="1" applyFill="1" applyBorder="1" applyAlignment="1">
      <alignment horizontal="center" vertical="center" wrapText="1"/>
    </xf>
    <xf numFmtId="4" fontId="24" fillId="12" borderId="5" xfId="0" applyNumberFormat="1" applyFont="1" applyFill="1" applyBorder="1" applyAlignment="1">
      <alignment horizontal="center" vertical="center" wrapText="1"/>
    </xf>
    <xf numFmtId="0" fontId="9" fillId="0" borderId="16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4" fontId="23" fillId="15" borderId="2" xfId="0" applyNumberFormat="1" applyFont="1" applyFill="1" applyBorder="1" applyAlignment="1">
      <alignment horizontal="center" vertical="center" wrapText="1"/>
    </xf>
    <xf numFmtId="4" fontId="9" fillId="4" borderId="2" xfId="0" applyNumberFormat="1" applyFont="1" applyFill="1" applyBorder="1" applyAlignment="1">
      <alignment horizontal="right"/>
    </xf>
    <xf numFmtId="4" fontId="24" fillId="13" borderId="18" xfId="0" applyNumberFormat="1" applyFont="1" applyFill="1" applyBorder="1" applyAlignment="1">
      <alignment horizontal="center" vertical="center" wrapText="1"/>
    </xf>
    <xf numFmtId="0" fontId="8" fillId="6" borderId="21" xfId="0" quotePrefix="1" applyNumberFormat="1" applyFont="1" applyFill="1" applyBorder="1" applyAlignment="1">
      <alignment horizontal="center" vertical="center" wrapText="1"/>
    </xf>
    <xf numFmtId="0" fontId="8" fillId="6" borderId="22" xfId="0" applyNumberFormat="1" applyFont="1" applyFill="1" applyBorder="1" applyAlignment="1">
      <alignment horizontal="center" vertical="center" wrapText="1"/>
    </xf>
    <xf numFmtId="4" fontId="8" fillId="6" borderId="22" xfId="0" applyNumberFormat="1" applyFont="1" applyFill="1" applyBorder="1" applyAlignment="1">
      <alignment horizontal="center" vertical="center" wrapText="1"/>
    </xf>
    <xf numFmtId="3" fontId="8" fillId="6" borderId="22" xfId="0" applyNumberFormat="1" applyFont="1" applyFill="1" applyBorder="1" applyAlignment="1">
      <alignment horizontal="center" vertical="center" wrapText="1"/>
    </xf>
    <xf numFmtId="3" fontId="8" fillId="6" borderId="22" xfId="0" quotePrefix="1" applyNumberFormat="1" applyFont="1" applyFill="1" applyBorder="1" applyAlignment="1">
      <alignment horizontal="center" vertical="center" wrapText="1"/>
    </xf>
    <xf numFmtId="3" fontId="8" fillId="6" borderId="23" xfId="0" quotePrefix="1" applyNumberFormat="1" applyFont="1" applyFill="1" applyBorder="1" applyAlignment="1">
      <alignment horizontal="center" vertical="center" wrapText="1"/>
    </xf>
    <xf numFmtId="0" fontId="12" fillId="5" borderId="21" xfId="0" quotePrefix="1" applyNumberFormat="1" applyFont="1" applyFill="1" applyBorder="1" applyAlignment="1">
      <alignment horizontal="left" vertical="center" wrapText="1"/>
    </xf>
    <xf numFmtId="0" fontId="12" fillId="8" borderId="22" xfId="0" applyNumberFormat="1" applyFont="1" applyFill="1" applyBorder="1" applyAlignment="1">
      <alignment horizontal="center" vertical="center" wrapText="1"/>
    </xf>
    <xf numFmtId="165" fontId="19" fillId="10" borderId="22" xfId="0" applyNumberFormat="1" applyFont="1" applyFill="1" applyBorder="1" applyAlignment="1">
      <alignment horizontal="right" vertical="center" wrapText="1"/>
    </xf>
    <xf numFmtId="4" fontId="19" fillId="10" borderId="22" xfId="0" applyNumberFormat="1" applyFont="1" applyFill="1" applyBorder="1" applyAlignment="1">
      <alignment horizontal="right" vertical="center" wrapText="1"/>
    </xf>
    <xf numFmtId="4" fontId="12" fillId="5" borderId="22" xfId="5" applyNumberFormat="1" applyFont="1" applyFill="1" applyBorder="1" applyAlignment="1">
      <alignment horizontal="right" vertical="center" wrapText="1"/>
    </xf>
    <xf numFmtId="4" fontId="19" fillId="10" borderId="22" xfId="5" applyNumberFormat="1" applyFont="1" applyFill="1" applyBorder="1" applyAlignment="1">
      <alignment horizontal="right" vertical="center" wrapText="1"/>
    </xf>
    <xf numFmtId="4" fontId="12" fillId="5" borderId="22" xfId="0" applyNumberFormat="1" applyFont="1" applyFill="1" applyBorder="1" applyAlignment="1">
      <alignment horizontal="right" vertical="center" wrapText="1"/>
    </xf>
    <xf numFmtId="4" fontId="23" fillId="12" borderId="4" xfId="0" applyNumberFormat="1" applyFont="1" applyFill="1" applyBorder="1" applyAlignment="1">
      <alignment horizontal="center" vertical="center" wrapText="1"/>
    </xf>
    <xf numFmtId="4" fontId="9" fillId="0" borderId="4" xfId="0" applyNumberFormat="1" applyFont="1" applyBorder="1" applyAlignment="1">
      <alignment horizontal="right"/>
    </xf>
    <xf numFmtId="4" fontId="9" fillId="0" borderId="4" xfId="5" applyNumberFormat="1" applyFont="1" applyBorder="1" applyAlignment="1">
      <alignment horizontal="right"/>
    </xf>
    <xf numFmtId="4" fontId="23" fillId="15" borderId="4" xfId="0" applyNumberFormat="1" applyFont="1" applyFill="1" applyBorder="1" applyAlignment="1">
      <alignment horizontal="center" vertical="center" wrapText="1"/>
    </xf>
    <xf numFmtId="4" fontId="24" fillId="12" borderId="45" xfId="0" applyNumberFormat="1" applyFont="1" applyFill="1" applyBorder="1" applyAlignment="1">
      <alignment horizontal="center" vertical="center" wrapText="1"/>
    </xf>
    <xf numFmtId="4" fontId="24" fillId="12" borderId="30" xfId="0" applyNumberFormat="1" applyFont="1" applyFill="1" applyBorder="1" applyAlignment="1">
      <alignment horizontal="center" vertical="center" wrapText="1"/>
    </xf>
    <xf numFmtId="0" fontId="9" fillId="4" borderId="31" xfId="0" applyNumberFormat="1" applyFont="1" applyFill="1" applyBorder="1" applyAlignment="1">
      <alignment horizontal="center"/>
    </xf>
    <xf numFmtId="4" fontId="8" fillId="3" borderId="22" xfId="0" applyNumberFormat="1" applyFont="1" applyFill="1" applyBorder="1" applyAlignment="1">
      <alignment horizontal="right"/>
    </xf>
    <xf numFmtId="165" fontId="8" fillId="11" borderId="22" xfId="0" applyNumberFormat="1" applyFont="1" applyFill="1" applyBorder="1" applyAlignment="1">
      <alignment horizontal="right"/>
    </xf>
    <xf numFmtId="4" fontId="21" fillId="11" borderId="22" xfId="8" applyNumberFormat="1" applyFont="1" applyFill="1" applyBorder="1"/>
    <xf numFmtId="0" fontId="9" fillId="7" borderId="31" xfId="0" applyNumberFormat="1" applyFont="1" applyFill="1" applyBorder="1" applyAlignment="1">
      <alignment horizontal="center"/>
    </xf>
    <xf numFmtId="0" fontId="9" fillId="7" borderId="4" xfId="0" applyNumberFormat="1" applyFont="1" applyFill="1" applyBorder="1" applyAlignment="1">
      <alignment horizontal="center" wrapText="1"/>
    </xf>
    <xf numFmtId="4" fontId="23" fillId="13" borderId="4" xfId="0" applyNumberFormat="1" applyFont="1" applyFill="1" applyBorder="1" applyAlignment="1">
      <alignment horizontal="center" vertical="center" wrapText="1"/>
    </xf>
    <xf numFmtId="165" fontId="9" fillId="13" borderId="4" xfId="0" applyNumberFormat="1" applyFont="1" applyFill="1" applyBorder="1" applyAlignment="1">
      <alignment horizontal="right"/>
    </xf>
    <xf numFmtId="4" fontId="9" fillId="13" borderId="4" xfId="0" applyNumberFormat="1" applyFont="1" applyFill="1" applyBorder="1" applyAlignment="1">
      <alignment horizontal="right"/>
    </xf>
    <xf numFmtId="4" fontId="9" fillId="7" borderId="4" xfId="0" applyNumberFormat="1" applyFont="1" applyFill="1" applyBorder="1" applyAlignment="1">
      <alignment horizontal="right"/>
    </xf>
    <xf numFmtId="165" fontId="22" fillId="13" borderId="4" xfId="8" applyNumberFormat="1" applyFont="1" applyFill="1" applyBorder="1" applyAlignment="1"/>
    <xf numFmtId="4" fontId="24" fillId="13" borderId="45" xfId="0" applyNumberFormat="1" applyFont="1" applyFill="1" applyBorder="1" applyAlignment="1">
      <alignment horizontal="center" vertical="center" wrapText="1"/>
    </xf>
    <xf numFmtId="0" fontId="8" fillId="3" borderId="22" xfId="0" applyNumberFormat="1" applyFont="1" applyFill="1" applyBorder="1" applyAlignment="1">
      <alignment horizontal="center" wrapText="1"/>
    </xf>
    <xf numFmtId="0" fontId="9" fillId="0" borderId="3" xfId="0" applyNumberFormat="1" applyFont="1" applyBorder="1" applyAlignment="1">
      <alignment horizontal="center" wrapText="1"/>
    </xf>
    <xf numFmtId="165" fontId="9" fillId="0" borderId="3" xfId="0" applyNumberFormat="1" applyFont="1" applyBorder="1" applyAlignment="1">
      <alignment horizontal="right"/>
    </xf>
    <xf numFmtId="4" fontId="9" fillId="13" borderId="4" xfId="5" applyNumberFormat="1" applyFont="1" applyFill="1" applyBorder="1" applyAlignment="1">
      <alignment horizontal="right"/>
    </xf>
    <xf numFmtId="4" fontId="9" fillId="7" borderId="4" xfId="5" applyNumberFormat="1" applyFont="1" applyFill="1" applyBorder="1" applyAlignment="1">
      <alignment horizontal="right"/>
    </xf>
    <xf numFmtId="0" fontId="9" fillId="4" borderId="3" xfId="0" applyNumberFormat="1" applyFont="1" applyFill="1" applyBorder="1"/>
    <xf numFmtId="0" fontId="9" fillId="7" borderId="4" xfId="0" applyNumberFormat="1" applyFont="1" applyFill="1" applyBorder="1" applyAlignment="1">
      <alignment horizontal="center"/>
    </xf>
    <xf numFmtId="4" fontId="8" fillId="11" borderId="22" xfId="5" applyNumberFormat="1" applyFont="1" applyFill="1" applyBorder="1" applyAlignment="1">
      <alignment horizontal="right" wrapText="1"/>
    </xf>
    <xf numFmtId="4" fontId="8" fillId="3" borderId="22" xfId="5" applyNumberFormat="1" applyFont="1" applyFill="1" applyBorder="1" applyAlignment="1">
      <alignment horizontal="right" wrapText="1"/>
    </xf>
    <xf numFmtId="3" fontId="8" fillId="3" borderId="22" xfId="0" applyNumberFormat="1" applyFont="1" applyFill="1" applyBorder="1" applyAlignment="1">
      <alignment horizontal="center"/>
    </xf>
    <xf numFmtId="165" fontId="22" fillId="11" borderId="22" xfId="8" applyNumberFormat="1" applyFont="1" applyFill="1" applyBorder="1" applyAlignment="1"/>
    <xf numFmtId="0" fontId="9" fillId="4" borderId="33" xfId="0" applyNumberFormat="1" applyFont="1" applyFill="1" applyBorder="1" applyAlignment="1">
      <alignment horizontal="center"/>
    </xf>
    <xf numFmtId="3" fontId="9" fillId="4" borderId="5" xfId="0" applyNumberFormat="1" applyFont="1" applyFill="1" applyBorder="1" applyAlignment="1">
      <alignment horizontal="center"/>
    </xf>
    <xf numFmtId="4" fontId="23" fillId="12" borderId="5" xfId="0" applyNumberFormat="1" applyFont="1" applyFill="1" applyBorder="1" applyAlignment="1">
      <alignment horizontal="center" vertical="center" wrapText="1"/>
    </xf>
    <xf numFmtId="4" fontId="9" fillId="12" borderId="5" xfId="5" applyNumberFormat="1" applyFont="1" applyFill="1" applyBorder="1" applyAlignment="1">
      <alignment horizontal="right"/>
    </xf>
    <xf numFmtId="4" fontId="9" fillId="4" borderId="5" xfId="5" applyNumberFormat="1" applyFont="1" applyFill="1" applyBorder="1" applyAlignment="1">
      <alignment horizontal="right"/>
    </xf>
    <xf numFmtId="165" fontId="22" fillId="0" borderId="5" xfId="8" applyNumberFormat="1" applyFont="1" applyBorder="1" applyAlignment="1"/>
    <xf numFmtId="4" fontId="24" fillId="12" borderId="46" xfId="0" applyNumberFormat="1" applyFont="1" applyFill="1" applyBorder="1" applyAlignment="1">
      <alignment horizontal="center" vertical="center" wrapText="1"/>
    </xf>
    <xf numFmtId="0" fontId="8" fillId="3" borderId="22" xfId="0" applyNumberFormat="1" applyFont="1" applyFill="1" applyBorder="1" applyAlignment="1">
      <alignment horizontal="center" wrapText="1" shrinkToFit="1"/>
    </xf>
    <xf numFmtId="49" fontId="9" fillId="7" borderId="4" xfId="0" applyNumberFormat="1" applyFont="1" applyFill="1" applyBorder="1" applyAlignment="1">
      <alignment horizontal="center" shrinkToFit="1"/>
    </xf>
    <xf numFmtId="49" fontId="8" fillId="3" borderId="22" xfId="0" applyNumberFormat="1" applyFont="1" applyFill="1" applyBorder="1" applyAlignment="1">
      <alignment horizontal="center" shrinkToFit="1"/>
    </xf>
    <xf numFmtId="49" fontId="9" fillId="4" borderId="3" xfId="0" applyNumberFormat="1" applyFont="1" applyFill="1" applyBorder="1" applyAlignment="1">
      <alignment horizontal="center" shrinkToFit="1"/>
    </xf>
    <xf numFmtId="4" fontId="8" fillId="13" borderId="4" xfId="5" applyNumberFormat="1" applyFont="1" applyFill="1" applyBorder="1" applyAlignment="1">
      <alignment horizontal="right"/>
    </xf>
    <xf numFmtId="4" fontId="8" fillId="7" borderId="4" xfId="5" applyNumberFormat="1" applyFont="1" applyFill="1" applyBorder="1" applyAlignment="1">
      <alignment horizontal="right"/>
    </xf>
    <xf numFmtId="49" fontId="9" fillId="0" borderId="3" xfId="0" applyNumberFormat="1" applyFont="1" applyBorder="1" applyAlignment="1">
      <alignment horizontal="center" shrinkToFit="1"/>
    </xf>
    <xf numFmtId="0" fontId="9" fillId="3" borderId="21" xfId="0" applyNumberFormat="1" applyFont="1" applyFill="1" applyBorder="1" applyAlignment="1">
      <alignment horizontal="center"/>
    </xf>
    <xf numFmtId="0" fontId="8" fillId="3" borderId="22" xfId="0" quotePrefix="1" applyNumberFormat="1" applyFont="1" applyFill="1" applyBorder="1" applyAlignment="1">
      <alignment horizontal="center" vertical="justify"/>
    </xf>
    <xf numFmtId="166" fontId="14" fillId="0" borderId="0" xfId="0" applyNumberFormat="1" applyFont="1" applyAlignment="1">
      <alignment horizontal="left" wrapText="1"/>
    </xf>
    <xf numFmtId="3" fontId="14" fillId="4" borderId="0" xfId="0" applyNumberFormat="1" applyFont="1" applyFill="1"/>
    <xf numFmtId="166" fontId="14" fillId="4" borderId="0" xfId="0" applyNumberFormat="1" applyFont="1" applyFill="1" applyAlignment="1">
      <alignment horizontal="left" wrapText="1"/>
    </xf>
    <xf numFmtId="3" fontId="10" fillId="0" borderId="0" xfId="0" applyNumberFormat="1" applyFont="1" applyBorder="1" applyAlignment="1">
      <alignment horizontal="left" vertical="center" wrapText="1"/>
    </xf>
    <xf numFmtId="3" fontId="10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center" wrapText="1"/>
    </xf>
    <xf numFmtId="0" fontId="17" fillId="0" borderId="0" xfId="0" applyNumberFormat="1" applyFont="1" applyBorder="1" applyAlignment="1">
      <alignment horizontal="center"/>
    </xf>
    <xf numFmtId="0" fontId="8" fillId="2" borderId="14" xfId="0" applyFont="1" applyFill="1" applyBorder="1" applyAlignment="1">
      <alignment horizontal="center"/>
    </xf>
    <xf numFmtId="3" fontId="10" fillId="0" borderId="0" xfId="0" applyNumberFormat="1" applyFont="1" applyBorder="1" applyAlignment="1">
      <alignment horizontal="left" vertical="center" wrapText="1"/>
    </xf>
    <xf numFmtId="3" fontId="10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center" wrapText="1"/>
    </xf>
    <xf numFmtId="0" fontId="8" fillId="0" borderId="0" xfId="0" applyNumberFormat="1" applyFont="1" applyAlignment="1">
      <alignment horizontal="center" wrapText="1"/>
    </xf>
    <xf numFmtId="0" fontId="9" fillId="0" borderId="0" xfId="0" applyFont="1" applyAlignment="1">
      <alignment horizontal="center" wrapText="1"/>
    </xf>
    <xf numFmtId="4" fontId="29" fillId="4" borderId="6" xfId="6" applyNumberFormat="1" applyFont="1" applyFill="1" applyBorder="1" applyAlignment="1">
      <alignment horizontal="center"/>
    </xf>
    <xf numFmtId="4" fontId="29" fillId="4" borderId="10" xfId="6" applyNumberFormat="1" applyFont="1" applyFill="1" applyBorder="1" applyAlignment="1">
      <alignment horizontal="center"/>
    </xf>
    <xf numFmtId="0" fontId="8" fillId="3" borderId="7" xfId="0" applyNumberFormat="1" applyFont="1" applyFill="1" applyBorder="1" applyAlignment="1">
      <alignment horizontal="center"/>
    </xf>
    <xf numFmtId="0" fontId="8" fillId="3" borderId="8" xfId="0" applyNumberFormat="1" applyFont="1" applyFill="1" applyBorder="1" applyAlignment="1">
      <alignment horizontal="center" wrapText="1"/>
    </xf>
    <xf numFmtId="4" fontId="23" fillId="11" borderId="8" xfId="0" applyNumberFormat="1" applyFont="1" applyFill="1" applyBorder="1" applyAlignment="1">
      <alignment horizontal="center" vertical="center" wrapText="1"/>
    </xf>
    <xf numFmtId="4" fontId="8" fillId="3" borderId="8" xfId="5" applyNumberFormat="1" applyFont="1" applyFill="1" applyBorder="1" applyAlignment="1">
      <alignment horizontal="right"/>
    </xf>
    <xf numFmtId="165" fontId="21" fillId="11" borderId="8" xfId="8" applyNumberFormat="1" applyFont="1" applyFill="1" applyBorder="1" applyAlignment="1"/>
    <xf numFmtId="4" fontId="8" fillId="11" borderId="8" xfId="5" applyNumberFormat="1" applyFont="1" applyFill="1" applyBorder="1" applyAlignment="1">
      <alignment horizontal="right"/>
    </xf>
    <xf numFmtId="4" fontId="23" fillId="11" borderId="9" xfId="0" applyNumberFormat="1" applyFont="1" applyFill="1" applyBorder="1" applyAlignment="1">
      <alignment horizontal="center" vertical="center" wrapText="1"/>
    </xf>
    <xf numFmtId="0" fontId="12" fillId="5" borderId="19" xfId="0" applyNumberFormat="1" applyFont="1" applyFill="1" applyBorder="1" applyAlignment="1">
      <alignment horizontal="left"/>
    </xf>
    <xf numFmtId="3" fontId="13" fillId="8" borderId="29" xfId="0" applyNumberFormat="1" applyFont="1" applyFill="1" applyBorder="1" applyAlignment="1">
      <alignment horizontal="center"/>
    </xf>
    <xf numFmtId="4" fontId="19" fillId="14" borderId="29" xfId="0" applyNumberFormat="1" applyFont="1" applyFill="1" applyBorder="1" applyAlignment="1">
      <alignment horizontal="center" vertical="center" wrapText="1"/>
    </xf>
    <xf numFmtId="4" fontId="13" fillId="5" borderId="29" xfId="5" applyNumberFormat="1" applyFont="1" applyFill="1" applyBorder="1" applyAlignment="1">
      <alignment horizontal="right"/>
    </xf>
    <xf numFmtId="4" fontId="20" fillId="10" borderId="29" xfId="5" applyNumberFormat="1" applyFont="1" applyFill="1" applyBorder="1" applyAlignment="1">
      <alignment horizontal="right"/>
    </xf>
    <xf numFmtId="165" fontId="19" fillId="10" borderId="29" xfId="8" applyNumberFormat="1" applyFont="1" applyFill="1" applyBorder="1" applyAlignment="1"/>
    <xf numFmtId="4" fontId="19" fillId="14" borderId="20" xfId="0" applyNumberFormat="1" applyFont="1" applyFill="1" applyBorder="1" applyAlignment="1">
      <alignment horizontal="center" vertical="center" wrapText="1"/>
    </xf>
    <xf numFmtId="0" fontId="9" fillId="4" borderId="32" xfId="0" applyNumberFormat="1" applyFont="1" applyFill="1" applyBorder="1" applyAlignment="1">
      <alignment horizontal="center"/>
    </xf>
    <xf numFmtId="0" fontId="9" fillId="4" borderId="6" xfId="0" applyNumberFormat="1" applyFont="1" applyFill="1" applyBorder="1" applyAlignment="1">
      <alignment horizontal="center" wrapText="1"/>
    </xf>
    <xf numFmtId="4" fontId="23" fillId="12" borderId="6" xfId="0" applyNumberFormat="1" applyFont="1" applyFill="1" applyBorder="1" applyAlignment="1">
      <alignment horizontal="center" vertical="center" wrapText="1"/>
    </xf>
    <xf numFmtId="4" fontId="9" fillId="4" borderId="6" xfId="5" applyNumberFormat="1" applyFont="1" applyFill="1" applyBorder="1" applyAlignment="1">
      <alignment horizontal="right"/>
    </xf>
    <xf numFmtId="165" fontId="22" fillId="12" borderId="6" xfId="8" applyNumberFormat="1" applyFont="1" applyFill="1" applyBorder="1" applyAlignment="1"/>
    <xf numFmtId="4" fontId="9" fillId="12" borderId="6" xfId="5" applyNumberFormat="1" applyFont="1" applyFill="1" applyBorder="1" applyAlignment="1">
      <alignment horizontal="right"/>
    </xf>
    <xf numFmtId="4" fontId="24" fillId="12" borderId="6" xfId="0" applyNumberFormat="1" applyFont="1" applyFill="1" applyBorder="1" applyAlignment="1">
      <alignment horizontal="center" vertical="center" wrapText="1"/>
    </xf>
    <xf numFmtId="4" fontId="24" fillId="12" borderId="10" xfId="0" applyNumberFormat="1" applyFont="1" applyFill="1" applyBorder="1" applyAlignment="1">
      <alignment horizontal="center" vertical="center" wrapText="1"/>
    </xf>
    <xf numFmtId="0" fontId="8" fillId="4" borderId="16" xfId="0" applyNumberFormat="1" applyFont="1" applyFill="1" applyBorder="1" applyAlignment="1">
      <alignment horizontal="center"/>
    </xf>
    <xf numFmtId="0" fontId="8" fillId="7" borderId="15" xfId="0" applyNumberFormat="1" applyFont="1" applyFill="1" applyBorder="1" applyAlignment="1">
      <alignment horizontal="center"/>
    </xf>
    <xf numFmtId="0" fontId="8" fillId="7" borderId="11" xfId="0" applyNumberFormat="1" applyFont="1" applyFill="1" applyBorder="1" applyAlignment="1">
      <alignment horizontal="center" wrapText="1"/>
    </xf>
    <xf numFmtId="4" fontId="23" fillId="16" borderId="11" xfId="0" applyNumberFormat="1" applyFont="1" applyFill="1" applyBorder="1" applyAlignment="1">
      <alignment horizontal="center" vertical="center" wrapText="1"/>
    </xf>
    <xf numFmtId="4" fontId="8" fillId="7" borderId="11" xfId="5" applyNumberFormat="1" applyFont="1" applyFill="1" applyBorder="1" applyAlignment="1">
      <alignment horizontal="right"/>
    </xf>
    <xf numFmtId="165" fontId="21" fillId="16" borderId="11" xfId="8" applyNumberFormat="1" applyFont="1" applyFill="1" applyBorder="1" applyAlignment="1"/>
    <xf numFmtId="4" fontId="8" fillId="16" borderId="11" xfId="5" applyNumberFormat="1" applyFont="1" applyFill="1" applyBorder="1" applyAlignment="1">
      <alignment horizontal="right"/>
    </xf>
    <xf numFmtId="4" fontId="23" fillId="16" borderId="12" xfId="0" applyNumberFormat="1" applyFont="1" applyFill="1" applyBorder="1" applyAlignment="1">
      <alignment horizontal="center" vertical="center" wrapText="1"/>
    </xf>
    <xf numFmtId="4" fontId="24" fillId="15" borderId="2" xfId="0" applyNumberFormat="1" applyFont="1" applyFill="1" applyBorder="1" applyAlignment="1">
      <alignment horizontal="center" vertical="center" wrapText="1"/>
    </xf>
    <xf numFmtId="165" fontId="22" fillId="15" borderId="2" xfId="8" applyNumberFormat="1" applyFont="1" applyFill="1" applyBorder="1" applyAlignment="1"/>
    <xf numFmtId="4" fontId="9" fillId="15" borderId="2" xfId="5" applyNumberFormat="1" applyFont="1" applyFill="1" applyBorder="1" applyAlignment="1">
      <alignment horizontal="right"/>
    </xf>
    <xf numFmtId="4" fontId="24" fillId="15" borderId="18" xfId="0" applyNumberFormat="1" applyFont="1" applyFill="1" applyBorder="1" applyAlignment="1">
      <alignment horizontal="center" vertical="center" wrapText="1"/>
    </xf>
    <xf numFmtId="165" fontId="9" fillId="15" borderId="2" xfId="0" applyNumberFormat="1" applyFont="1" applyFill="1" applyBorder="1" applyAlignment="1">
      <alignment horizontal="right"/>
    </xf>
    <xf numFmtId="4" fontId="9" fillId="15" borderId="2" xfId="0" applyNumberFormat="1" applyFont="1" applyFill="1" applyBorder="1" applyAlignment="1">
      <alignment horizontal="right"/>
    </xf>
    <xf numFmtId="4" fontId="23" fillId="16" borderId="2" xfId="0" applyNumberFormat="1" applyFont="1" applyFill="1" applyBorder="1" applyAlignment="1">
      <alignment horizontal="center" vertical="center" wrapText="1"/>
    </xf>
    <xf numFmtId="165" fontId="9" fillId="7" borderId="2" xfId="0" applyNumberFormat="1" applyFont="1" applyFill="1" applyBorder="1" applyAlignment="1">
      <alignment horizontal="right"/>
    </xf>
    <xf numFmtId="165" fontId="22" fillId="7" borderId="2" xfId="8" applyNumberFormat="1" applyFont="1" applyFill="1" applyBorder="1" applyAlignment="1"/>
    <xf numFmtId="4" fontId="24" fillId="16" borderId="2" xfId="0" applyNumberFormat="1" applyFont="1" applyFill="1" applyBorder="1" applyAlignment="1">
      <alignment horizontal="center" vertical="center" wrapText="1"/>
    </xf>
    <xf numFmtId="4" fontId="24" fillId="16" borderId="18" xfId="0" applyNumberFormat="1" applyFont="1" applyFill="1" applyBorder="1" applyAlignment="1">
      <alignment horizontal="center" vertical="center" wrapText="1"/>
    </xf>
    <xf numFmtId="0" fontId="26" fillId="4" borderId="48" xfId="6" applyFont="1" applyFill="1" applyBorder="1"/>
    <xf numFmtId="49" fontId="26" fillId="4" borderId="49" xfId="6" applyNumberFormat="1" applyFont="1" applyFill="1" applyBorder="1" applyAlignment="1">
      <alignment horizontal="center" wrapText="1"/>
    </xf>
    <xf numFmtId="3" fontId="27" fillId="4" borderId="49" xfId="6" applyNumberFormat="1" applyFont="1" applyFill="1" applyBorder="1" applyAlignment="1">
      <alignment horizontal="right" wrapText="1"/>
    </xf>
    <xf numFmtId="3" fontId="27" fillId="4" borderId="45" xfId="6" applyNumberFormat="1" applyFont="1" applyFill="1" applyBorder="1" applyAlignment="1">
      <alignment horizontal="right" wrapText="1"/>
    </xf>
    <xf numFmtId="4" fontId="29" fillId="4" borderId="11" xfId="6" applyNumberFormat="1" applyFont="1" applyFill="1" applyBorder="1" applyAlignment="1">
      <alignment horizontal="center"/>
    </xf>
    <xf numFmtId="4" fontId="29" fillId="4" borderId="12" xfId="6" applyNumberFormat="1" applyFont="1" applyFill="1" applyBorder="1" applyAlignment="1">
      <alignment horizontal="center"/>
    </xf>
    <xf numFmtId="0" fontId="0" fillId="0" borderId="0" xfId="0"/>
    <xf numFmtId="0" fontId="28" fillId="4" borderId="15" xfId="6" applyNumberFormat="1" applyFont="1" applyFill="1" applyBorder="1" applyAlignment="1">
      <alignment horizontal="left" wrapText="1"/>
    </xf>
    <xf numFmtId="0" fontId="28" fillId="4" borderId="32" xfId="6" applyNumberFormat="1" applyFont="1" applyFill="1" applyBorder="1" applyAlignment="1">
      <alignment horizontal="left" wrapText="1"/>
    </xf>
    <xf numFmtId="3" fontId="26" fillId="4" borderId="28" xfId="6" applyNumberFormat="1" applyFont="1" applyFill="1" applyBorder="1" applyAlignment="1">
      <alignment horizontal="left"/>
    </xf>
    <xf numFmtId="0" fontId="33" fillId="17" borderId="3" xfId="0" applyFont="1" applyFill="1" applyBorder="1" applyAlignment="1">
      <alignment horizontal="center" vertical="top" wrapText="1"/>
    </xf>
    <xf numFmtId="4" fontId="0" fillId="4" borderId="7" xfId="0" applyNumberFormat="1" applyFill="1" applyBorder="1" applyAlignment="1">
      <alignment vertical="top"/>
    </xf>
    <xf numFmtId="4" fontId="0" fillId="4" borderId="8" xfId="0" applyNumberFormat="1" applyFill="1" applyBorder="1" applyAlignment="1">
      <alignment vertical="top"/>
    </xf>
    <xf numFmtId="4" fontId="34" fillId="4" borderId="8" xfId="0" applyNumberFormat="1" applyFont="1" applyFill="1" applyBorder="1" applyAlignment="1">
      <alignment vertical="top"/>
    </xf>
    <xf numFmtId="4" fontId="34" fillId="4" borderId="9" xfId="0" applyNumberFormat="1" applyFont="1" applyFill="1" applyBorder="1" applyAlignment="1">
      <alignment vertical="top"/>
    </xf>
    <xf numFmtId="0" fontId="35" fillId="4" borderId="15" xfId="0" applyFont="1" applyFill="1" applyBorder="1" applyAlignment="1">
      <alignment horizontal="center" vertical="top"/>
    </xf>
    <xf numFmtId="0" fontId="35" fillId="4" borderId="11" xfId="0" applyFont="1" applyFill="1" applyBorder="1" applyAlignment="1">
      <alignment horizontal="left" vertical="top" wrapText="1"/>
    </xf>
    <xf numFmtId="165" fontId="36" fillId="4" borderId="11" xfId="0" applyNumberFormat="1" applyFont="1" applyFill="1" applyBorder="1" applyAlignment="1">
      <alignment horizontal="right" vertical="top"/>
    </xf>
    <xf numFmtId="165" fontId="36" fillId="4" borderId="12" xfId="0" applyNumberFormat="1" applyFont="1" applyFill="1" applyBorder="1" applyAlignment="1">
      <alignment horizontal="right" vertical="top"/>
    </xf>
    <xf numFmtId="0" fontId="35" fillId="4" borderId="16" xfId="0" applyFont="1" applyFill="1" applyBorder="1" applyAlignment="1">
      <alignment horizontal="center" vertical="top"/>
    </xf>
    <xf numFmtId="0" fontId="35" fillId="4" borderId="2" xfId="0" applyFont="1" applyFill="1" applyBorder="1" applyAlignment="1">
      <alignment horizontal="left" vertical="top" wrapText="1"/>
    </xf>
    <xf numFmtId="165" fontId="36" fillId="4" borderId="2" xfId="0" applyNumberFormat="1" applyFont="1" applyFill="1" applyBorder="1" applyAlignment="1">
      <alignment horizontal="right" vertical="top"/>
    </xf>
    <xf numFmtId="165" fontId="36" fillId="4" borderId="18" xfId="0" applyNumberFormat="1" applyFont="1" applyFill="1" applyBorder="1" applyAlignment="1">
      <alignment horizontal="right" vertical="top"/>
    </xf>
    <xf numFmtId="4" fontId="36" fillId="4" borderId="2" xfId="0" applyNumberFormat="1" applyFont="1" applyFill="1" applyBorder="1" applyAlignment="1">
      <alignment vertical="top"/>
    </xf>
    <xf numFmtId="4" fontId="36" fillId="4" borderId="2" xfId="0" applyNumberFormat="1" applyFont="1" applyFill="1" applyBorder="1" applyAlignment="1">
      <alignment horizontal="right" vertical="top"/>
    </xf>
    <xf numFmtId="4" fontId="36" fillId="4" borderId="18" xfId="0" applyNumberFormat="1" applyFont="1" applyFill="1" applyBorder="1" applyAlignment="1">
      <alignment horizontal="right" vertical="top"/>
    </xf>
    <xf numFmtId="0" fontId="35" fillId="4" borderId="2" xfId="0" applyFont="1" applyFill="1" applyBorder="1" applyAlignment="1">
      <alignment horizontal="left" vertical="top"/>
    </xf>
    <xf numFmtId="0" fontId="36" fillId="4" borderId="32" xfId="0" applyFont="1" applyFill="1" applyBorder="1" applyAlignment="1">
      <alignment horizontal="center"/>
    </xf>
    <xf numFmtId="0" fontId="35" fillId="4" borderId="6" xfId="0" applyFont="1" applyFill="1" applyBorder="1" applyAlignment="1">
      <alignment wrapText="1"/>
    </xf>
    <xf numFmtId="165" fontId="36" fillId="4" borderId="6" xfId="0" applyNumberFormat="1" applyFont="1" applyFill="1" applyBorder="1" applyAlignment="1">
      <alignment horizontal="right" vertical="top"/>
    </xf>
    <xf numFmtId="165" fontId="36" fillId="4" borderId="10" xfId="0" applyNumberFormat="1" applyFont="1" applyFill="1" applyBorder="1" applyAlignment="1">
      <alignment horizontal="right" vertical="top"/>
    </xf>
    <xf numFmtId="0" fontId="37" fillId="0" borderId="0" xfId="0" applyFont="1"/>
    <xf numFmtId="0" fontId="14" fillId="0" borderId="0" xfId="0" applyFont="1" applyAlignment="1">
      <alignment horizontal="center"/>
    </xf>
    <xf numFmtId="0" fontId="38" fillId="0" borderId="0" xfId="0" applyFont="1"/>
    <xf numFmtId="4" fontId="38" fillId="0" borderId="0" xfId="0" applyNumberFormat="1" applyFont="1" applyBorder="1"/>
    <xf numFmtId="3" fontId="38" fillId="0" borderId="0" xfId="0" applyNumberFormat="1" applyFont="1"/>
    <xf numFmtId="3" fontId="38" fillId="0" borderId="0" xfId="0" applyNumberFormat="1" applyFont="1" applyBorder="1"/>
    <xf numFmtId="4" fontId="14" fillId="0" borderId="0" xfId="0" applyNumberFormat="1" applyFont="1" applyBorder="1"/>
    <xf numFmtId="4" fontId="38" fillId="0" borderId="0" xfId="0" applyNumberFormat="1" applyFont="1"/>
    <xf numFmtId="0" fontId="14" fillId="0" borderId="0" xfId="0" applyNumberFormat="1" applyFont="1" applyBorder="1" applyAlignment="1">
      <alignment horizontal="center"/>
    </xf>
    <xf numFmtId="0" fontId="38" fillId="0" borderId="0" xfId="0" applyNumberFormat="1" applyFont="1" applyBorder="1"/>
    <xf numFmtId="0" fontId="3" fillId="0" borderId="0" xfId="0" applyFont="1"/>
    <xf numFmtId="0" fontId="8" fillId="2" borderId="13" xfId="0" applyFont="1" applyFill="1" applyBorder="1" applyAlignment="1">
      <alignment horizontal="center"/>
    </xf>
    <xf numFmtId="0" fontId="8" fillId="2" borderId="14" xfId="0" applyFont="1" applyFill="1" applyBorder="1" applyAlignment="1">
      <alignment horizontal="center"/>
    </xf>
    <xf numFmtId="0" fontId="6" fillId="2" borderId="13" xfId="0" applyNumberFormat="1" applyFont="1" applyFill="1" applyBorder="1" applyAlignment="1">
      <alignment horizontal="center"/>
    </xf>
    <xf numFmtId="0" fontId="6" fillId="2" borderId="14" xfId="0" applyNumberFormat="1" applyFont="1" applyFill="1" applyBorder="1" applyAlignment="1">
      <alignment horizontal="center"/>
    </xf>
    <xf numFmtId="3" fontId="10" fillId="0" borderId="0" xfId="0" applyNumberFormat="1" applyFont="1" applyBorder="1" applyAlignment="1">
      <alignment horizontal="left" vertical="center" wrapText="1"/>
    </xf>
    <xf numFmtId="3" fontId="10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center" wrapText="1"/>
    </xf>
    <xf numFmtId="3" fontId="8" fillId="0" borderId="27" xfId="0" quotePrefix="1" applyNumberFormat="1" applyFont="1" applyBorder="1" applyAlignment="1">
      <alignment horizontal="center"/>
    </xf>
    <xf numFmtId="0" fontId="17" fillId="0" borderId="0" xfId="0" applyNumberFormat="1" applyFont="1" applyAlignment="1">
      <alignment horizontal="center" wrapText="1"/>
    </xf>
    <xf numFmtId="0" fontId="14" fillId="0" borderId="0" xfId="0" applyFont="1" applyAlignment="1">
      <alignment horizontal="center"/>
    </xf>
    <xf numFmtId="3" fontId="39" fillId="0" borderId="0" xfId="0" applyNumberFormat="1" applyFont="1" applyAlignment="1">
      <alignment horizontal="center"/>
    </xf>
    <xf numFmtId="3" fontId="10" fillId="0" borderId="0" xfId="0" applyNumberFormat="1" applyFont="1" applyAlignment="1">
      <alignment horizontal="left"/>
    </xf>
    <xf numFmtId="0" fontId="14" fillId="0" borderId="0" xfId="0" applyNumberFormat="1" applyFont="1" applyBorder="1" applyAlignment="1">
      <alignment horizontal="center"/>
    </xf>
    <xf numFmtId="0" fontId="8" fillId="9" borderId="24" xfId="0" applyNumberFormat="1" applyFont="1" applyFill="1" applyBorder="1" applyAlignment="1">
      <alignment horizontal="center"/>
    </xf>
    <xf numFmtId="0" fontId="8" fillId="9" borderId="25" xfId="0" applyNumberFormat="1" applyFont="1" applyFill="1" applyBorder="1" applyAlignment="1">
      <alignment horizontal="center"/>
    </xf>
    <xf numFmtId="0" fontId="8" fillId="9" borderId="34" xfId="0" applyNumberFormat="1" applyFont="1" applyFill="1" applyBorder="1" applyAlignment="1">
      <alignment horizontal="center"/>
    </xf>
    <xf numFmtId="0" fontId="8" fillId="9" borderId="17" xfId="0" applyNumberFormat="1" applyFont="1" applyFill="1" applyBorder="1" applyAlignment="1">
      <alignment horizontal="center"/>
    </xf>
    <xf numFmtId="0" fontId="8" fillId="9" borderId="0" xfId="0" applyNumberFormat="1" applyFont="1" applyFill="1" applyBorder="1" applyAlignment="1">
      <alignment horizontal="center"/>
    </xf>
    <xf numFmtId="0" fontId="8" fillId="9" borderId="35" xfId="0" applyNumberFormat="1" applyFont="1" applyFill="1" applyBorder="1" applyAlignment="1">
      <alignment horizontal="center"/>
    </xf>
    <xf numFmtId="0" fontId="8" fillId="9" borderId="26" xfId="0" applyNumberFormat="1" applyFont="1" applyFill="1" applyBorder="1" applyAlignment="1">
      <alignment horizontal="center"/>
    </xf>
    <xf numFmtId="0" fontId="8" fillId="9" borderId="27" xfId="0" applyNumberFormat="1" applyFont="1" applyFill="1" applyBorder="1" applyAlignment="1">
      <alignment horizontal="center"/>
    </xf>
    <xf numFmtId="0" fontId="8" fillId="9" borderId="36" xfId="0" applyNumberFormat="1" applyFont="1" applyFill="1" applyBorder="1" applyAlignment="1">
      <alignment horizontal="center"/>
    </xf>
    <xf numFmtId="165" fontId="8" fillId="9" borderId="8" xfId="0" applyNumberFormat="1" applyFont="1" applyFill="1" applyBorder="1" applyAlignment="1">
      <alignment horizontal="center"/>
    </xf>
    <xf numFmtId="165" fontId="8" fillId="9" borderId="5" xfId="0" applyNumberFormat="1" applyFont="1" applyFill="1" applyBorder="1" applyAlignment="1">
      <alignment horizontal="center"/>
    </xf>
    <xf numFmtId="165" fontId="8" fillId="9" borderId="29" xfId="0" applyNumberFormat="1" applyFont="1" applyFill="1" applyBorder="1" applyAlignment="1">
      <alignment horizontal="center"/>
    </xf>
    <xf numFmtId="0" fontId="25" fillId="0" borderId="0" xfId="0" applyFont="1" applyAlignment="1">
      <alignment horizontal="center"/>
    </xf>
    <xf numFmtId="0" fontId="26" fillId="0" borderId="0" xfId="6" applyFont="1" applyAlignment="1">
      <alignment horizontal="center"/>
    </xf>
  </cellXfs>
  <cellStyles count="12">
    <cellStyle name="Comma 2" xfId="7" xr:uid="{00000000-0005-0000-0000-000001000000}"/>
    <cellStyle name="Normal 2" xfId="5" xr:uid="{00000000-0005-0000-0000-000003000000}"/>
    <cellStyle name="Normal 3" xfId="3" xr:uid="{00000000-0005-0000-0000-000004000000}"/>
    <cellStyle name="Normal 3 2" xfId="8" xr:uid="{00000000-0005-0000-0000-000005000000}"/>
    <cellStyle name="Normal 4" xfId="4" xr:uid="{00000000-0005-0000-0000-000006000000}"/>
    <cellStyle name="Normal_Sheet2" xfId="11" xr:uid="{2EC60044-C54A-4A9B-BCCB-545E4CD275D2}"/>
    <cellStyle name="Normalno" xfId="0" builtinId="0"/>
    <cellStyle name="Normalno 2" xfId="1" xr:uid="{00000000-0005-0000-0000-000007000000}"/>
    <cellStyle name="Normalno 2 2" xfId="6" xr:uid="{00000000-0005-0000-0000-000008000000}"/>
    <cellStyle name="Obično_List7" xfId="9" xr:uid="{B5A16547-4009-44F3-9F27-E21E22ACB917}"/>
    <cellStyle name="Zarez" xfId="2" builtinId="3"/>
    <cellStyle name="Zarez 2" xfId="10" xr:uid="{C3E5580D-A93E-48B5-87CD-336095E89C9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M213"/>
  <sheetViews>
    <sheetView zoomScale="65" zoomScaleNormal="65" workbookViewId="0">
      <selection activeCell="A2" sqref="A2:T2"/>
    </sheetView>
  </sheetViews>
  <sheetFormatPr defaultColWidth="19.42578125" defaultRowHeight="18.75" x14ac:dyDescent="0.3"/>
  <cols>
    <col min="1" max="1" width="36.28515625" style="25" customWidth="1"/>
    <col min="2" max="2" width="39.85546875" style="26" customWidth="1"/>
    <col min="3" max="3" width="23.140625" style="2" customWidth="1"/>
    <col min="4" max="4" width="23.140625" style="1" customWidth="1"/>
    <col min="5" max="5" width="20" style="1" bestFit="1" customWidth="1"/>
    <col min="6" max="6" width="19.7109375" style="1" bestFit="1" customWidth="1"/>
    <col min="7" max="7" width="19" style="1" customWidth="1"/>
    <col min="8" max="9" width="19.7109375" style="1" bestFit="1" customWidth="1"/>
    <col min="10" max="11" width="19.7109375" style="1" customWidth="1"/>
    <col min="12" max="13" width="19.7109375" style="1" bestFit="1" customWidth="1"/>
    <col min="14" max="16" width="20" style="1" customWidth="1"/>
    <col min="17" max="17" width="19.7109375" style="1" bestFit="1" customWidth="1"/>
    <col min="18" max="18" width="19.5703125" style="1" bestFit="1" customWidth="1"/>
    <col min="19" max="19" width="21.140625" style="31" customWidth="1"/>
    <col min="20" max="20" width="23.140625" style="31" customWidth="1"/>
    <col min="21" max="65" width="19.42578125" style="31"/>
    <col min="66" max="16384" width="19.42578125" style="1"/>
  </cols>
  <sheetData>
    <row r="1" spans="1:20" ht="34.5" customHeight="1" thickBot="1" x14ac:dyDescent="0.35">
      <c r="A1" s="357" t="s">
        <v>66</v>
      </c>
      <c r="B1" s="358"/>
      <c r="C1" s="358"/>
      <c r="Q1" s="355" t="s">
        <v>12</v>
      </c>
      <c r="R1" s="356"/>
      <c r="S1" s="55"/>
    </row>
    <row r="2" spans="1:20" ht="20.25" customHeight="1" x14ac:dyDescent="0.4">
      <c r="A2" s="363" t="s">
        <v>262</v>
      </c>
      <c r="B2" s="363"/>
      <c r="C2" s="363"/>
      <c r="D2" s="363"/>
      <c r="E2" s="363"/>
      <c r="F2" s="363"/>
      <c r="G2" s="363"/>
      <c r="H2" s="363"/>
      <c r="I2" s="363"/>
      <c r="J2" s="363"/>
      <c r="K2" s="363"/>
      <c r="L2" s="363"/>
      <c r="M2" s="363"/>
      <c r="N2" s="363"/>
      <c r="O2" s="363"/>
      <c r="P2" s="363"/>
      <c r="Q2" s="363"/>
      <c r="R2" s="363"/>
      <c r="S2" s="363"/>
      <c r="T2" s="363"/>
    </row>
    <row r="3" spans="1:20" ht="20.25" customHeight="1" x14ac:dyDescent="0.3">
      <c r="A3" s="4"/>
      <c r="B3" s="361"/>
      <c r="C3" s="361"/>
      <c r="D3" s="361"/>
      <c r="E3" s="361"/>
      <c r="F3" s="361"/>
      <c r="G3" s="361"/>
      <c r="H3" s="5"/>
      <c r="I3" s="3"/>
      <c r="J3" s="174"/>
      <c r="K3" s="262"/>
      <c r="L3" s="3"/>
      <c r="M3" s="3"/>
      <c r="N3" s="3"/>
      <c r="O3" s="107"/>
      <c r="P3" s="262"/>
      <c r="Q3" s="3"/>
      <c r="R3" s="3"/>
      <c r="S3" s="55"/>
    </row>
    <row r="4" spans="1:20" ht="18" customHeight="1" x14ac:dyDescent="0.3">
      <c r="A4" s="6" t="s">
        <v>13</v>
      </c>
      <c r="B4" s="7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20" ht="22.5" customHeight="1" x14ac:dyDescent="0.3">
      <c r="A5" s="11" t="s">
        <v>66</v>
      </c>
      <c r="B5" s="12"/>
      <c r="C5" s="13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1:20" ht="16.5" customHeight="1" thickBot="1" x14ac:dyDescent="0.35">
      <c r="A6" s="362" t="s">
        <v>205</v>
      </c>
      <c r="B6" s="362"/>
      <c r="C6" s="362"/>
      <c r="D6" s="362"/>
      <c r="E6" s="14"/>
      <c r="F6" s="14"/>
      <c r="G6" s="14"/>
      <c r="H6" s="14"/>
      <c r="I6" s="14"/>
      <c r="J6" s="14"/>
      <c r="K6" s="14"/>
      <c r="L6" s="9"/>
      <c r="M6" s="9"/>
      <c r="N6" s="9"/>
      <c r="O6" s="9"/>
      <c r="P6" s="9"/>
    </row>
    <row r="7" spans="1:20" ht="36.75" customHeight="1" thickBot="1" x14ac:dyDescent="0.35">
      <c r="A7" s="72" t="s">
        <v>14</v>
      </c>
      <c r="B7" s="73" t="s">
        <v>198</v>
      </c>
      <c r="C7" s="74" t="s">
        <v>177</v>
      </c>
      <c r="D7" s="99" t="s">
        <v>199</v>
      </c>
      <c r="E7" s="79" t="s">
        <v>69</v>
      </c>
      <c r="F7" s="78"/>
      <c r="G7" s="78"/>
      <c r="H7" s="78"/>
      <c r="I7" s="78"/>
      <c r="J7" s="78"/>
      <c r="K7" s="78"/>
      <c r="L7" s="15"/>
      <c r="M7" s="359"/>
      <c r="N7" s="359"/>
      <c r="O7" s="359"/>
      <c r="P7" s="359"/>
      <c r="Q7" s="359"/>
      <c r="R7" s="359"/>
    </row>
    <row r="8" spans="1:20" ht="19.5" customHeight="1" x14ac:dyDescent="0.3">
      <c r="A8" s="75" t="s">
        <v>9</v>
      </c>
      <c r="B8" s="76">
        <v>235270</v>
      </c>
      <c r="C8" s="76">
        <v>234906</v>
      </c>
      <c r="D8" s="90">
        <v>234270</v>
      </c>
      <c r="E8" s="79"/>
      <c r="F8" s="78"/>
      <c r="G8" s="78"/>
      <c r="H8" s="78"/>
      <c r="I8" s="78"/>
      <c r="J8" s="78"/>
      <c r="K8" s="78"/>
      <c r="L8" s="17"/>
      <c r="M8" s="360"/>
      <c r="N8" s="360"/>
      <c r="O8" s="360"/>
      <c r="P8" s="360"/>
      <c r="Q8" s="360"/>
      <c r="R8" s="360"/>
    </row>
    <row r="9" spans="1:20" ht="36.75" customHeight="1" x14ac:dyDescent="0.3">
      <c r="A9" s="57" t="s">
        <v>59</v>
      </c>
      <c r="B9" s="16">
        <v>0</v>
      </c>
      <c r="C9" s="16">
        <v>0</v>
      </c>
      <c r="D9" s="91">
        <v>0</v>
      </c>
      <c r="E9" s="79" t="s">
        <v>144</v>
      </c>
      <c r="F9" s="78"/>
      <c r="G9" s="78"/>
      <c r="H9" s="78"/>
      <c r="I9" s="78"/>
      <c r="J9" s="78"/>
      <c r="K9" s="78"/>
      <c r="L9" s="18"/>
      <c r="M9" s="360"/>
      <c r="N9" s="360"/>
      <c r="O9" s="360"/>
      <c r="P9" s="360"/>
      <c r="Q9" s="360"/>
      <c r="R9" s="360"/>
    </row>
    <row r="10" spans="1:20" ht="21" customHeight="1" x14ac:dyDescent="0.3">
      <c r="A10" s="57" t="s">
        <v>143</v>
      </c>
      <c r="B10" s="16">
        <v>104720</v>
      </c>
      <c r="C10" s="16">
        <v>104720</v>
      </c>
      <c r="D10" s="91">
        <v>104720</v>
      </c>
      <c r="E10" s="83"/>
      <c r="F10" s="77"/>
      <c r="G10" s="77"/>
      <c r="H10" s="77"/>
      <c r="I10" s="77"/>
      <c r="J10" s="173"/>
      <c r="K10" s="260"/>
      <c r="L10" s="18"/>
      <c r="M10" s="19"/>
      <c r="N10" s="19"/>
      <c r="O10" s="106"/>
      <c r="P10" s="261"/>
      <c r="Q10" s="19"/>
      <c r="R10" s="19"/>
    </row>
    <row r="11" spans="1:20" ht="34.5" customHeight="1" x14ac:dyDescent="0.3">
      <c r="A11" s="58" t="s">
        <v>8</v>
      </c>
      <c r="B11" s="20">
        <v>0</v>
      </c>
      <c r="C11" s="20">
        <v>0</v>
      </c>
      <c r="D11" s="92">
        <v>0</v>
      </c>
      <c r="E11" s="79" t="s">
        <v>70</v>
      </c>
      <c r="F11" s="78"/>
      <c r="G11" s="78"/>
      <c r="H11" s="78"/>
      <c r="I11" s="78"/>
      <c r="J11" s="78"/>
      <c r="K11" s="78"/>
      <c r="L11" s="18"/>
      <c r="M11" s="360"/>
      <c r="N11" s="360"/>
      <c r="O11" s="360"/>
      <c r="P11" s="360"/>
      <c r="Q11" s="360"/>
      <c r="R11" s="360"/>
    </row>
    <row r="12" spans="1:20" x14ac:dyDescent="0.3">
      <c r="A12" s="59" t="s">
        <v>1</v>
      </c>
      <c r="B12" s="16">
        <v>2000</v>
      </c>
      <c r="C12" s="16">
        <v>2000</v>
      </c>
      <c r="D12" s="91">
        <v>2000</v>
      </c>
      <c r="E12" s="80" t="s">
        <v>71</v>
      </c>
      <c r="F12" s="81"/>
      <c r="G12" s="81"/>
      <c r="H12" s="81"/>
      <c r="I12" s="81"/>
      <c r="J12" s="81"/>
      <c r="K12" s="81"/>
      <c r="L12" s="21"/>
      <c r="M12" s="366"/>
      <c r="N12" s="366"/>
      <c r="O12" s="366"/>
      <c r="P12" s="366"/>
      <c r="Q12" s="366"/>
      <c r="R12" s="366"/>
    </row>
    <row r="13" spans="1:20" x14ac:dyDescent="0.3">
      <c r="A13" s="59" t="s">
        <v>11</v>
      </c>
      <c r="B13" s="16">
        <v>1429568</v>
      </c>
      <c r="C13" s="16">
        <v>1429058</v>
      </c>
      <c r="D13" s="91">
        <v>1428200</v>
      </c>
      <c r="E13" s="82"/>
      <c r="F13" s="9"/>
      <c r="G13" s="22"/>
      <c r="H13" s="22"/>
      <c r="I13" s="9"/>
      <c r="J13" s="9"/>
      <c r="K13" s="9"/>
      <c r="L13" s="9"/>
      <c r="M13" s="9"/>
      <c r="N13" s="9"/>
      <c r="O13" s="9"/>
      <c r="P13" s="9"/>
    </row>
    <row r="14" spans="1:20" x14ac:dyDescent="0.3">
      <c r="A14" s="59" t="s">
        <v>174</v>
      </c>
      <c r="B14" s="16">
        <v>8040</v>
      </c>
      <c r="C14" s="16">
        <v>4861</v>
      </c>
      <c r="D14" s="91">
        <v>0</v>
      </c>
      <c r="E14" s="82"/>
      <c r="F14" s="9"/>
      <c r="G14" s="22"/>
      <c r="H14" s="22"/>
      <c r="I14" s="9"/>
      <c r="J14" s="9"/>
      <c r="K14" s="9"/>
      <c r="L14" s="9"/>
      <c r="M14" s="9"/>
      <c r="N14" s="9"/>
      <c r="O14" s="9"/>
      <c r="P14" s="9"/>
    </row>
    <row r="15" spans="1:20" ht="19.5" thickBot="1" x14ac:dyDescent="0.35">
      <c r="A15" s="108" t="s">
        <v>176</v>
      </c>
      <c r="B15" s="109">
        <v>2000</v>
      </c>
      <c r="C15" s="109">
        <v>2000</v>
      </c>
      <c r="D15" s="110">
        <v>2000</v>
      </c>
      <c r="E15" s="82"/>
      <c r="F15" s="9"/>
      <c r="G15" s="22"/>
      <c r="H15" s="22"/>
      <c r="I15" s="9"/>
      <c r="J15" s="9"/>
      <c r="K15" s="9"/>
      <c r="L15" s="9"/>
      <c r="M15" s="9"/>
      <c r="N15" s="9"/>
      <c r="O15" s="9"/>
      <c r="P15" s="9"/>
    </row>
    <row r="16" spans="1:20" ht="19.5" thickBot="1" x14ac:dyDescent="0.35">
      <c r="A16" s="152" t="s">
        <v>15</v>
      </c>
      <c r="B16" s="153">
        <v>1781598</v>
      </c>
      <c r="C16" s="153">
        <v>1777545</v>
      </c>
      <c r="D16" s="154">
        <v>1771190</v>
      </c>
      <c r="E16" s="82"/>
      <c r="F16" s="9"/>
      <c r="G16" s="24"/>
      <c r="H16" s="24"/>
      <c r="I16" s="9"/>
      <c r="J16" s="9"/>
      <c r="K16" s="9"/>
      <c r="L16" s="9"/>
      <c r="M16" s="9"/>
      <c r="N16" s="9"/>
      <c r="O16" s="9"/>
      <c r="P16" s="9"/>
    </row>
    <row r="17" spans="1:65" ht="23.25" customHeight="1" x14ac:dyDescent="0.3">
      <c r="A17" s="158" t="s">
        <v>197</v>
      </c>
      <c r="B17" s="159">
        <v>12000</v>
      </c>
      <c r="C17" s="159">
        <v>12000</v>
      </c>
      <c r="D17" s="160">
        <v>12000</v>
      </c>
      <c r="M17" s="9"/>
      <c r="N17" s="9"/>
      <c r="O17" s="9"/>
      <c r="P17" s="9"/>
    </row>
    <row r="18" spans="1:65" ht="22.5" customHeight="1" thickBot="1" x14ac:dyDescent="0.35">
      <c r="A18" s="155" t="s">
        <v>15</v>
      </c>
      <c r="B18" s="156">
        <v>1793598</v>
      </c>
      <c r="C18" s="156">
        <v>1789545</v>
      </c>
      <c r="D18" s="157">
        <v>1783190</v>
      </c>
      <c r="M18" s="9"/>
      <c r="N18" s="9"/>
      <c r="O18" s="9"/>
      <c r="P18" s="9"/>
    </row>
    <row r="19" spans="1:65" ht="30.75" customHeight="1" x14ac:dyDescent="0.3">
      <c r="B19" s="2"/>
      <c r="M19" s="9"/>
      <c r="N19" s="9"/>
      <c r="O19" s="9"/>
      <c r="P19" s="9"/>
    </row>
    <row r="20" spans="1:65" s="27" customFormat="1" ht="21.75" customHeight="1" thickBot="1" x14ac:dyDescent="0.35">
      <c r="A20" s="29" t="s">
        <v>16</v>
      </c>
      <c r="B20" s="30"/>
      <c r="C20" s="10"/>
      <c r="D20" s="12"/>
      <c r="E20" s="12"/>
      <c r="F20" s="12"/>
      <c r="G20" s="12"/>
      <c r="H20" s="12"/>
      <c r="I20" s="9"/>
      <c r="J20" s="9"/>
      <c r="K20" s="9"/>
      <c r="L20" s="52" t="s">
        <v>210</v>
      </c>
      <c r="M20" s="257">
        <v>7.5345000000000004</v>
      </c>
      <c r="S20" s="52" t="s">
        <v>210</v>
      </c>
      <c r="T20" s="259">
        <v>7.5345000000000004</v>
      </c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6"/>
      <c r="AZ20" s="56"/>
      <c r="BA20" s="56"/>
      <c r="BB20" s="56"/>
      <c r="BC20" s="56"/>
      <c r="BD20" s="56"/>
      <c r="BE20" s="56"/>
      <c r="BF20" s="56"/>
      <c r="BG20" s="56"/>
      <c r="BH20" s="56"/>
      <c r="BI20" s="56"/>
      <c r="BJ20" s="56"/>
      <c r="BK20" s="56"/>
      <c r="BL20" s="56"/>
      <c r="BM20" s="56"/>
    </row>
    <row r="21" spans="1:65" ht="114" customHeight="1" thickBot="1" x14ac:dyDescent="0.35">
      <c r="A21" s="199" t="s">
        <v>17</v>
      </c>
      <c r="B21" s="200" t="s">
        <v>0</v>
      </c>
      <c r="C21" s="201" t="s">
        <v>200</v>
      </c>
      <c r="D21" s="202" t="s">
        <v>245</v>
      </c>
      <c r="E21" s="202" t="s">
        <v>246</v>
      </c>
      <c r="F21" s="202" t="s">
        <v>247</v>
      </c>
      <c r="G21" s="202" t="s">
        <v>248</v>
      </c>
      <c r="H21" s="202" t="s">
        <v>8</v>
      </c>
      <c r="I21" s="202" t="s">
        <v>255</v>
      </c>
      <c r="J21" s="202" t="s">
        <v>249</v>
      </c>
      <c r="K21" s="202" t="s">
        <v>250</v>
      </c>
      <c r="L21" s="202" t="s">
        <v>251</v>
      </c>
      <c r="M21" s="202" t="s">
        <v>252</v>
      </c>
      <c r="N21" s="202" t="s">
        <v>24</v>
      </c>
      <c r="O21" s="202" t="s">
        <v>253</v>
      </c>
      <c r="P21" s="202" t="s">
        <v>254</v>
      </c>
      <c r="Q21" s="203" t="s">
        <v>214</v>
      </c>
      <c r="R21" s="203" t="s">
        <v>201</v>
      </c>
      <c r="S21" s="203" t="s">
        <v>207</v>
      </c>
      <c r="T21" s="204" t="s">
        <v>208</v>
      </c>
    </row>
    <row r="22" spans="1:65" ht="19.5" thickBot="1" x14ac:dyDescent="0.35">
      <c r="A22" s="205">
        <v>3</v>
      </c>
      <c r="B22" s="206"/>
      <c r="C22" s="187">
        <v>1790198</v>
      </c>
      <c r="D22" s="207">
        <f>D39</f>
        <v>90000</v>
      </c>
      <c r="E22" s="208">
        <f>E23+E39</f>
        <v>143270</v>
      </c>
      <c r="F22" s="209">
        <f>F23</f>
        <v>2000</v>
      </c>
      <c r="G22" s="210">
        <f>G39+G154+G164</f>
        <v>116020</v>
      </c>
      <c r="H22" s="209">
        <v>0</v>
      </c>
      <c r="I22" s="208">
        <f>I23+I39+I164</f>
        <v>1427500</v>
      </c>
      <c r="J22" s="208">
        <f>J23+J39</f>
        <v>1348</v>
      </c>
      <c r="K22" s="209">
        <f>K39</f>
        <v>20</v>
      </c>
      <c r="L22" s="211">
        <f>L39</f>
        <v>2000</v>
      </c>
      <c r="M22" s="209">
        <v>0</v>
      </c>
      <c r="N22" s="209">
        <v>0</v>
      </c>
      <c r="O22" s="208">
        <f>O23+O39</f>
        <v>7642</v>
      </c>
      <c r="P22" s="209">
        <f>P39</f>
        <v>398</v>
      </c>
      <c r="Q22" s="187">
        <v>1786145</v>
      </c>
      <c r="R22" s="187">
        <v>1779790</v>
      </c>
      <c r="S22" s="187">
        <f>10254730/M20</f>
        <v>1361036.5651337181</v>
      </c>
      <c r="T22" s="188">
        <f>4750588.57/M20</f>
        <v>630511.4566328224</v>
      </c>
    </row>
    <row r="23" spans="1:65" ht="19.5" thickBot="1" x14ac:dyDescent="0.35">
      <c r="A23" s="69">
        <v>31</v>
      </c>
      <c r="B23" s="70" t="s">
        <v>7</v>
      </c>
      <c r="C23" s="124">
        <v>1411600</v>
      </c>
      <c r="D23" s="111">
        <v>0</v>
      </c>
      <c r="E23" s="111">
        <f>E24+E29+E35</f>
        <v>961</v>
      </c>
      <c r="F23" s="71">
        <f>F29</f>
        <v>2000</v>
      </c>
      <c r="G23" s="119">
        <v>0</v>
      </c>
      <c r="H23" s="71">
        <v>0</v>
      </c>
      <c r="I23" s="111">
        <f>I24+I29+I35</f>
        <v>1400000</v>
      </c>
      <c r="J23" s="111">
        <f>J24+J29+J35</f>
        <v>1296</v>
      </c>
      <c r="K23" s="71">
        <v>0</v>
      </c>
      <c r="L23" s="111">
        <v>0</v>
      </c>
      <c r="M23" s="71">
        <v>0</v>
      </c>
      <c r="N23" s="71">
        <v>0</v>
      </c>
      <c r="O23" s="111">
        <f>O24+O29+O35</f>
        <v>7343</v>
      </c>
      <c r="P23" s="71">
        <v>0</v>
      </c>
      <c r="Q23" s="124">
        <v>1408095</v>
      </c>
      <c r="R23" s="124">
        <v>1402000</v>
      </c>
      <c r="S23" s="124">
        <f>8485930/M20</f>
        <v>1126276.4616099277</v>
      </c>
      <c r="T23" s="175">
        <f>3387083.08/M20</f>
        <v>449543.17871126154</v>
      </c>
    </row>
    <row r="24" spans="1:65" s="32" customFormat="1" ht="19.5" thickBot="1" x14ac:dyDescent="0.35">
      <c r="A24" s="69">
        <v>311</v>
      </c>
      <c r="B24" s="70" t="s">
        <v>20</v>
      </c>
      <c r="C24" s="182">
        <v>1162200</v>
      </c>
      <c r="D24" s="111">
        <v>0</v>
      </c>
      <c r="E24" s="111">
        <f>E25</f>
        <v>720</v>
      </c>
      <c r="F24" s="71">
        <v>0</v>
      </c>
      <c r="G24" s="119">
        <v>0</v>
      </c>
      <c r="H24" s="71">
        <v>0</v>
      </c>
      <c r="I24" s="111">
        <f>I25+I26+I27+I28</f>
        <v>1155000</v>
      </c>
      <c r="J24" s="111">
        <f>J25</f>
        <v>973</v>
      </c>
      <c r="K24" s="71">
        <v>0</v>
      </c>
      <c r="L24" s="111">
        <v>0</v>
      </c>
      <c r="M24" s="71">
        <v>0</v>
      </c>
      <c r="N24" s="71">
        <v>0</v>
      </c>
      <c r="O24" s="111">
        <f>O25</f>
        <v>5507</v>
      </c>
      <c r="P24" s="71">
        <v>0</v>
      </c>
      <c r="Q24" s="182">
        <v>1159700</v>
      </c>
      <c r="R24" s="182">
        <v>1155000</v>
      </c>
      <c r="S24" s="182">
        <f>6592000/M20</f>
        <v>874908.75306921487</v>
      </c>
      <c r="T24" s="184">
        <f>2852703.42/M20</f>
        <v>378618.80947640847</v>
      </c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</row>
    <row r="25" spans="1:65" x14ac:dyDescent="0.3">
      <c r="A25" s="93">
        <v>31111</v>
      </c>
      <c r="B25" s="34" t="s">
        <v>29</v>
      </c>
      <c r="C25" s="212">
        <v>1107200</v>
      </c>
      <c r="D25" s="213">
        <v>0</v>
      </c>
      <c r="E25" s="213">
        <v>720</v>
      </c>
      <c r="F25" s="214">
        <v>0</v>
      </c>
      <c r="G25" s="214">
        <v>0</v>
      </c>
      <c r="H25" s="214">
        <v>0</v>
      </c>
      <c r="I25" s="213">
        <v>1100000</v>
      </c>
      <c r="J25" s="213">
        <v>973</v>
      </c>
      <c r="K25" s="214">
        <v>0</v>
      </c>
      <c r="L25" s="213">
        <v>0</v>
      </c>
      <c r="M25" s="214">
        <v>0</v>
      </c>
      <c r="N25" s="214">
        <v>0</v>
      </c>
      <c r="O25" s="213">
        <v>5507</v>
      </c>
      <c r="P25" s="214">
        <v>0</v>
      </c>
      <c r="Q25" s="215">
        <v>1104700</v>
      </c>
      <c r="R25" s="212">
        <v>1100000</v>
      </c>
      <c r="S25" s="189">
        <f>6042000/M20</f>
        <v>801911.20844117051</v>
      </c>
      <c r="T25" s="216">
        <f>2620327.1/M20</f>
        <v>347777.17167695268</v>
      </c>
    </row>
    <row r="26" spans="1:65" x14ac:dyDescent="0.3">
      <c r="A26" s="96">
        <v>31113</v>
      </c>
      <c r="B26" s="39" t="s">
        <v>163</v>
      </c>
      <c r="C26" s="127">
        <v>0</v>
      </c>
      <c r="D26" s="60">
        <v>0</v>
      </c>
      <c r="E26" s="60">
        <v>0</v>
      </c>
      <c r="F26" s="67">
        <v>0</v>
      </c>
      <c r="G26" s="67">
        <v>0</v>
      </c>
      <c r="H26" s="67">
        <v>0</v>
      </c>
      <c r="I26" s="60">
        <v>0</v>
      </c>
      <c r="J26" s="60">
        <v>0</v>
      </c>
      <c r="K26" s="67">
        <v>0</v>
      </c>
      <c r="L26" s="60">
        <v>0</v>
      </c>
      <c r="M26" s="67">
        <v>0</v>
      </c>
      <c r="N26" s="67">
        <v>0</v>
      </c>
      <c r="O26" s="60">
        <v>0</v>
      </c>
      <c r="P26" s="67">
        <v>0</v>
      </c>
      <c r="Q26" s="196">
        <v>0</v>
      </c>
      <c r="R26" s="127">
        <v>0</v>
      </c>
      <c r="S26" s="128">
        <f>100000/M20</f>
        <v>13272.280841462605</v>
      </c>
      <c r="T26" s="176">
        <f>23612.32/M20</f>
        <v>3133.8934235848428</v>
      </c>
    </row>
    <row r="27" spans="1:65" x14ac:dyDescent="0.3">
      <c r="A27" s="96">
        <v>31131</v>
      </c>
      <c r="B27" s="39" t="s">
        <v>164</v>
      </c>
      <c r="C27" s="127">
        <v>40000</v>
      </c>
      <c r="D27" s="60">
        <v>0</v>
      </c>
      <c r="E27" s="60">
        <v>0</v>
      </c>
      <c r="F27" s="67">
        <v>0</v>
      </c>
      <c r="G27" s="67">
        <v>0</v>
      </c>
      <c r="H27" s="67">
        <v>0</v>
      </c>
      <c r="I27" s="60">
        <v>40000</v>
      </c>
      <c r="J27" s="60">
        <v>0</v>
      </c>
      <c r="K27" s="67">
        <v>0</v>
      </c>
      <c r="L27" s="60">
        <v>0</v>
      </c>
      <c r="M27" s="67">
        <v>0</v>
      </c>
      <c r="N27" s="67">
        <v>0</v>
      </c>
      <c r="O27" s="60">
        <v>0</v>
      </c>
      <c r="P27" s="67">
        <v>0</v>
      </c>
      <c r="Q27" s="196">
        <v>40000</v>
      </c>
      <c r="R27" s="127">
        <v>40000</v>
      </c>
      <c r="S27" s="128">
        <f>300000/M20</f>
        <v>39816.842524387816</v>
      </c>
      <c r="T27" s="176">
        <f>149362.9/M20</f>
        <v>19823.863560952948</v>
      </c>
    </row>
    <row r="28" spans="1:65" ht="19.5" thickBot="1" x14ac:dyDescent="0.35">
      <c r="A28" s="94">
        <v>31141</v>
      </c>
      <c r="B28" s="35" t="s">
        <v>165</v>
      </c>
      <c r="C28" s="125">
        <v>15000</v>
      </c>
      <c r="D28" s="61">
        <v>0</v>
      </c>
      <c r="E28" s="61">
        <v>0</v>
      </c>
      <c r="F28" s="68">
        <v>0</v>
      </c>
      <c r="G28" s="68">
        <v>0</v>
      </c>
      <c r="H28" s="68">
        <v>0</v>
      </c>
      <c r="I28" s="61">
        <v>15000</v>
      </c>
      <c r="J28" s="61">
        <v>0</v>
      </c>
      <c r="K28" s="68">
        <v>0</v>
      </c>
      <c r="L28" s="61">
        <v>0</v>
      </c>
      <c r="M28" s="68">
        <v>0</v>
      </c>
      <c r="N28" s="68">
        <v>0</v>
      </c>
      <c r="O28" s="61">
        <v>0</v>
      </c>
      <c r="P28" s="68">
        <v>0</v>
      </c>
      <c r="Q28" s="125">
        <v>15000</v>
      </c>
      <c r="R28" s="125">
        <v>15000</v>
      </c>
      <c r="S28" s="190">
        <f>150000/M20</f>
        <v>19908.421262193908</v>
      </c>
      <c r="T28" s="217">
        <f>59401.1/M20</f>
        <v>7883.8808149180431</v>
      </c>
    </row>
    <row r="29" spans="1:65" s="32" customFormat="1" ht="19.5" thickBot="1" x14ac:dyDescent="0.35">
      <c r="A29" s="69">
        <v>312</v>
      </c>
      <c r="B29" s="70" t="s">
        <v>18</v>
      </c>
      <c r="C29" s="182">
        <v>68190</v>
      </c>
      <c r="D29" s="111">
        <v>0</v>
      </c>
      <c r="E29" s="111">
        <f>E30+E33+E34</f>
        <v>120</v>
      </c>
      <c r="F29" s="71">
        <f>F30</f>
        <v>2000</v>
      </c>
      <c r="G29" s="119">
        <v>0</v>
      </c>
      <c r="H29" s="71">
        <v>0</v>
      </c>
      <c r="I29" s="111">
        <f>I30+I31+I32+I33+I34</f>
        <v>65000</v>
      </c>
      <c r="J29" s="111">
        <f>J30+J33+J34</f>
        <v>160</v>
      </c>
      <c r="K29" s="71">
        <v>0</v>
      </c>
      <c r="L29" s="111">
        <v>0</v>
      </c>
      <c r="M29" s="71">
        <v>0</v>
      </c>
      <c r="N29" s="71">
        <v>0</v>
      </c>
      <c r="O29" s="111">
        <f>O30+O33+O34</f>
        <v>910</v>
      </c>
      <c r="P29" s="71">
        <v>0</v>
      </c>
      <c r="Q29" s="182">
        <v>67595</v>
      </c>
      <c r="R29" s="182">
        <v>67000</v>
      </c>
      <c r="S29" s="182">
        <f>379000/M20</f>
        <v>50301.944389143275</v>
      </c>
      <c r="T29" s="184">
        <f>63042.31/M20</f>
        <v>8367.1524321454635</v>
      </c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</row>
    <row r="30" spans="1:65" x14ac:dyDescent="0.3">
      <c r="A30" s="93">
        <v>31212</v>
      </c>
      <c r="B30" s="34" t="s">
        <v>192</v>
      </c>
      <c r="C30" s="212">
        <v>8335</v>
      </c>
      <c r="D30" s="213">
        <v>0</v>
      </c>
      <c r="E30" s="213">
        <v>34</v>
      </c>
      <c r="F30" s="214">
        <v>2000</v>
      </c>
      <c r="G30" s="214">
        <v>0</v>
      </c>
      <c r="H30" s="214">
        <v>0</v>
      </c>
      <c r="I30" s="213">
        <v>6000</v>
      </c>
      <c r="J30" s="213">
        <v>45</v>
      </c>
      <c r="K30" s="214">
        <v>0</v>
      </c>
      <c r="L30" s="213">
        <v>0</v>
      </c>
      <c r="M30" s="214">
        <v>0</v>
      </c>
      <c r="N30" s="214">
        <v>0</v>
      </c>
      <c r="O30" s="213">
        <v>256</v>
      </c>
      <c r="P30" s="214">
        <v>0</v>
      </c>
      <c r="Q30" s="215">
        <v>8000</v>
      </c>
      <c r="R30" s="212">
        <v>8000</v>
      </c>
      <c r="S30" s="189">
        <f>92500/M20</f>
        <v>12276.859778352909</v>
      </c>
      <c r="T30" s="216">
        <f>2884.61/M20</f>
        <v>382.85354038091447</v>
      </c>
    </row>
    <row r="31" spans="1:65" x14ac:dyDescent="0.3">
      <c r="A31" s="96">
        <v>31213</v>
      </c>
      <c r="B31" s="39" t="s">
        <v>196</v>
      </c>
      <c r="C31" s="127">
        <v>33000</v>
      </c>
      <c r="D31" s="60">
        <v>0</v>
      </c>
      <c r="E31" s="60">
        <v>0</v>
      </c>
      <c r="F31" s="67">
        <v>0</v>
      </c>
      <c r="G31" s="67">
        <v>0</v>
      </c>
      <c r="H31" s="67">
        <v>0</v>
      </c>
      <c r="I31" s="60">
        <v>33000</v>
      </c>
      <c r="J31" s="60">
        <v>0</v>
      </c>
      <c r="K31" s="67">
        <v>0</v>
      </c>
      <c r="L31" s="60">
        <v>0</v>
      </c>
      <c r="M31" s="67">
        <v>0</v>
      </c>
      <c r="N31" s="67">
        <v>0</v>
      </c>
      <c r="O31" s="60">
        <v>0</v>
      </c>
      <c r="P31" s="67">
        <v>0</v>
      </c>
      <c r="Q31" s="196">
        <v>33000</v>
      </c>
      <c r="R31" s="127">
        <v>33000</v>
      </c>
      <c r="S31" s="128">
        <f>60000/M20</f>
        <v>7963.3685048775624</v>
      </c>
      <c r="T31" s="176">
        <v>0</v>
      </c>
    </row>
    <row r="32" spans="1:65" x14ac:dyDescent="0.3">
      <c r="A32" s="96">
        <v>31215</v>
      </c>
      <c r="B32" s="39" t="s">
        <v>195</v>
      </c>
      <c r="C32" s="127">
        <v>2000</v>
      </c>
      <c r="D32" s="60">
        <v>0</v>
      </c>
      <c r="E32" s="60">
        <v>0</v>
      </c>
      <c r="F32" s="67">
        <v>0</v>
      </c>
      <c r="G32" s="67">
        <v>0</v>
      </c>
      <c r="H32" s="67">
        <v>0</v>
      </c>
      <c r="I32" s="60">
        <v>2000</v>
      </c>
      <c r="J32" s="60">
        <v>0</v>
      </c>
      <c r="K32" s="67">
        <v>0</v>
      </c>
      <c r="L32" s="60">
        <v>0</v>
      </c>
      <c r="M32" s="67">
        <v>0</v>
      </c>
      <c r="N32" s="67">
        <v>0</v>
      </c>
      <c r="O32" s="60">
        <v>0</v>
      </c>
      <c r="P32" s="67">
        <v>0</v>
      </c>
      <c r="Q32" s="196">
        <v>2000</v>
      </c>
      <c r="R32" s="127">
        <v>2000</v>
      </c>
      <c r="S32" s="128">
        <f>30000/M20</f>
        <v>3981.6842524387812</v>
      </c>
      <c r="T32" s="176">
        <v>0</v>
      </c>
    </row>
    <row r="33" spans="1:65" x14ac:dyDescent="0.3">
      <c r="A33" s="96">
        <v>31216</v>
      </c>
      <c r="B33" s="39" t="s">
        <v>194</v>
      </c>
      <c r="C33" s="127">
        <v>20335</v>
      </c>
      <c r="D33" s="60">
        <v>0</v>
      </c>
      <c r="E33" s="60">
        <v>34</v>
      </c>
      <c r="F33" s="67">
        <v>0</v>
      </c>
      <c r="G33" s="67">
        <v>0</v>
      </c>
      <c r="H33" s="67">
        <v>0</v>
      </c>
      <c r="I33" s="60">
        <v>20000</v>
      </c>
      <c r="J33" s="60">
        <v>45</v>
      </c>
      <c r="K33" s="67">
        <v>0</v>
      </c>
      <c r="L33" s="60">
        <v>0</v>
      </c>
      <c r="M33" s="67">
        <v>0</v>
      </c>
      <c r="N33" s="67">
        <v>0</v>
      </c>
      <c r="O33" s="60">
        <v>256</v>
      </c>
      <c r="P33" s="67">
        <v>0</v>
      </c>
      <c r="Q33" s="196">
        <v>20335</v>
      </c>
      <c r="R33" s="127">
        <v>20000</v>
      </c>
      <c r="S33" s="128">
        <f>152500/M20</f>
        <v>20240.228283230474</v>
      </c>
      <c r="T33" s="176">
        <f>59750/M20</f>
        <v>7930.1878027739067</v>
      </c>
    </row>
    <row r="34" spans="1:65" ht="19.5" thickBot="1" x14ac:dyDescent="0.35">
      <c r="A34" s="94">
        <v>31219</v>
      </c>
      <c r="B34" s="35" t="s">
        <v>193</v>
      </c>
      <c r="C34" s="125">
        <v>4520</v>
      </c>
      <c r="D34" s="61">
        <v>0</v>
      </c>
      <c r="E34" s="61">
        <v>52</v>
      </c>
      <c r="F34" s="68">
        <v>0</v>
      </c>
      <c r="G34" s="68">
        <v>0</v>
      </c>
      <c r="H34" s="68">
        <v>0</v>
      </c>
      <c r="I34" s="61">
        <v>4000</v>
      </c>
      <c r="J34" s="61">
        <v>70</v>
      </c>
      <c r="K34" s="68">
        <v>0</v>
      </c>
      <c r="L34" s="61">
        <v>0</v>
      </c>
      <c r="M34" s="68">
        <v>0</v>
      </c>
      <c r="N34" s="68">
        <v>0</v>
      </c>
      <c r="O34" s="61">
        <v>398</v>
      </c>
      <c r="P34" s="68">
        <v>0</v>
      </c>
      <c r="Q34" s="179">
        <v>4260</v>
      </c>
      <c r="R34" s="125">
        <v>4000</v>
      </c>
      <c r="S34" s="190">
        <f>44000/M20</f>
        <v>5839.8035702435463</v>
      </c>
      <c r="T34" s="217">
        <f>407.7/M20</f>
        <v>54.11108899064304</v>
      </c>
    </row>
    <row r="35" spans="1:65" s="32" customFormat="1" ht="19.5" thickBot="1" x14ac:dyDescent="0.35">
      <c r="A35" s="69">
        <v>313</v>
      </c>
      <c r="B35" s="70" t="s">
        <v>26</v>
      </c>
      <c r="C35" s="182">
        <v>181210</v>
      </c>
      <c r="D35" s="111">
        <v>0</v>
      </c>
      <c r="E35" s="111">
        <f>E36</f>
        <v>121</v>
      </c>
      <c r="F35" s="219">
        <v>0</v>
      </c>
      <c r="G35" s="119">
        <v>0</v>
      </c>
      <c r="H35" s="219">
        <v>0</v>
      </c>
      <c r="I35" s="111">
        <f>I36</f>
        <v>180000</v>
      </c>
      <c r="J35" s="111">
        <f>J36</f>
        <v>163</v>
      </c>
      <c r="K35" s="219">
        <v>0</v>
      </c>
      <c r="L35" s="111">
        <v>0</v>
      </c>
      <c r="M35" s="219">
        <v>0</v>
      </c>
      <c r="N35" s="219">
        <v>0</v>
      </c>
      <c r="O35" s="111">
        <f>O36</f>
        <v>926</v>
      </c>
      <c r="P35" s="219">
        <v>0</v>
      </c>
      <c r="Q35" s="182">
        <v>180800</v>
      </c>
      <c r="R35" s="182">
        <v>180000</v>
      </c>
      <c r="S35" s="182">
        <f>1514930/M20</f>
        <v>201065.76415156943</v>
      </c>
      <c r="T35" s="184">
        <f>471337.35/M20</f>
        <v>62557.216802707539</v>
      </c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3"/>
      <c r="BL35" s="33"/>
      <c r="BM35" s="33"/>
    </row>
    <row r="36" spans="1:65" s="31" customFormat="1" x14ac:dyDescent="0.3">
      <c r="A36" s="218">
        <v>31321</v>
      </c>
      <c r="B36" s="34" t="s">
        <v>30</v>
      </c>
      <c r="C36" s="212">
        <v>181210</v>
      </c>
      <c r="D36" s="213">
        <v>0</v>
      </c>
      <c r="E36" s="213">
        <v>121</v>
      </c>
      <c r="F36" s="213">
        <v>0</v>
      </c>
      <c r="G36" s="214">
        <v>0</v>
      </c>
      <c r="H36" s="213">
        <v>0</v>
      </c>
      <c r="I36" s="213">
        <v>180000</v>
      </c>
      <c r="J36" s="213">
        <v>163</v>
      </c>
      <c r="K36" s="213">
        <v>0</v>
      </c>
      <c r="L36" s="213">
        <v>0</v>
      </c>
      <c r="M36" s="213">
        <v>0</v>
      </c>
      <c r="N36" s="213">
        <v>0</v>
      </c>
      <c r="O36" s="213">
        <v>926</v>
      </c>
      <c r="P36" s="213">
        <v>0</v>
      </c>
      <c r="Q36" s="215">
        <v>180800</v>
      </c>
      <c r="R36" s="212">
        <v>180000</v>
      </c>
      <c r="S36" s="189">
        <f>1506930/M20</f>
        <v>200003.98168425242</v>
      </c>
      <c r="T36" s="216">
        <f>470817.92/M20</f>
        <v>62488.276594332732</v>
      </c>
    </row>
    <row r="37" spans="1:65" s="31" customFormat="1" x14ac:dyDescent="0.3">
      <c r="A37" s="97">
        <v>31322</v>
      </c>
      <c r="B37" s="41" t="s">
        <v>166</v>
      </c>
      <c r="C37" s="127">
        <v>0</v>
      </c>
      <c r="D37" s="129">
        <v>0</v>
      </c>
      <c r="E37" s="129">
        <v>0</v>
      </c>
      <c r="F37" s="197">
        <v>0</v>
      </c>
      <c r="G37" s="117">
        <v>0</v>
      </c>
      <c r="H37" s="197">
        <v>0</v>
      </c>
      <c r="I37" s="129">
        <v>0</v>
      </c>
      <c r="J37" s="129">
        <v>0</v>
      </c>
      <c r="K37" s="197">
        <v>0</v>
      </c>
      <c r="L37" s="129">
        <v>0</v>
      </c>
      <c r="M37" s="197">
        <v>0</v>
      </c>
      <c r="N37" s="197">
        <v>0</v>
      </c>
      <c r="O37" s="129">
        <v>0</v>
      </c>
      <c r="P37" s="197">
        <v>0</v>
      </c>
      <c r="Q37" s="127">
        <v>0</v>
      </c>
      <c r="R37" s="127">
        <v>0</v>
      </c>
      <c r="S37" s="128">
        <f>5000/M20</f>
        <v>663.61404207313024</v>
      </c>
      <c r="T37" s="176">
        <f>118.06/M20</f>
        <v>15.669254761430752</v>
      </c>
    </row>
    <row r="38" spans="1:65" ht="19.5" thickBot="1" x14ac:dyDescent="0.35">
      <c r="A38" s="94">
        <v>31332</v>
      </c>
      <c r="B38" s="35" t="s">
        <v>167</v>
      </c>
      <c r="C38" s="125">
        <v>0</v>
      </c>
      <c r="D38" s="112">
        <v>0</v>
      </c>
      <c r="E38" s="112">
        <v>0</v>
      </c>
      <c r="F38" s="105">
        <v>0</v>
      </c>
      <c r="G38" s="115">
        <v>0</v>
      </c>
      <c r="H38" s="105">
        <v>0</v>
      </c>
      <c r="I38" s="112">
        <v>0</v>
      </c>
      <c r="J38" s="112">
        <v>0</v>
      </c>
      <c r="K38" s="105">
        <v>0</v>
      </c>
      <c r="L38" s="112">
        <v>0</v>
      </c>
      <c r="M38" s="105">
        <v>0</v>
      </c>
      <c r="N38" s="105">
        <v>0</v>
      </c>
      <c r="O38" s="112">
        <v>0</v>
      </c>
      <c r="P38" s="105">
        <v>0</v>
      </c>
      <c r="Q38" s="125">
        <v>0</v>
      </c>
      <c r="R38" s="125">
        <v>0</v>
      </c>
      <c r="S38" s="190">
        <f>3000/M20</f>
        <v>398.16842524387812</v>
      </c>
      <c r="T38" s="217">
        <f>401.37/M20</f>
        <v>53.27095361337846</v>
      </c>
    </row>
    <row r="39" spans="1:65" ht="19.5" thickBot="1" x14ac:dyDescent="0.35">
      <c r="A39" s="69">
        <v>32</v>
      </c>
      <c r="B39" s="70" t="s">
        <v>19</v>
      </c>
      <c r="C39" s="182">
        <v>376628</v>
      </c>
      <c r="D39" s="220">
        <f>D40+D57+D82+D131+D135</f>
        <v>90000</v>
      </c>
      <c r="E39" s="111">
        <f>E40+E57+E82+E131</f>
        <v>142309</v>
      </c>
      <c r="F39" s="219">
        <v>0</v>
      </c>
      <c r="G39" s="221">
        <f>G40+G57+G82+G131+G135</f>
        <v>114850</v>
      </c>
      <c r="H39" s="219">
        <v>0</v>
      </c>
      <c r="I39" s="219">
        <f>I40+I82+I131+I135</f>
        <v>26700</v>
      </c>
      <c r="J39" s="219">
        <f>J40</f>
        <v>52</v>
      </c>
      <c r="K39" s="219">
        <f>K57</f>
        <v>20</v>
      </c>
      <c r="L39" s="219">
        <f>L82</f>
        <v>2000</v>
      </c>
      <c r="M39" s="219">
        <v>0</v>
      </c>
      <c r="N39" s="219">
        <v>0</v>
      </c>
      <c r="O39" s="111">
        <f>O40</f>
        <v>299</v>
      </c>
      <c r="P39" s="219">
        <f>P57</f>
        <v>398</v>
      </c>
      <c r="Q39" s="182">
        <v>376080</v>
      </c>
      <c r="R39" s="182">
        <v>375820</v>
      </c>
      <c r="S39" s="182">
        <f>1738500/M20</f>
        <v>230738.60242882738</v>
      </c>
      <c r="T39" s="184">
        <f>1352160.85/M20</f>
        <v>179462.58544030791</v>
      </c>
    </row>
    <row r="40" spans="1:65" s="32" customFormat="1" ht="39" customHeight="1" thickBot="1" x14ac:dyDescent="0.35">
      <c r="A40" s="69">
        <v>321</v>
      </c>
      <c r="B40" s="230" t="s">
        <v>60</v>
      </c>
      <c r="C40" s="182">
        <v>126190</v>
      </c>
      <c r="D40" s="220">
        <f>D41+D49+D51</f>
        <v>60000</v>
      </c>
      <c r="E40" s="111">
        <f>E41+E49</f>
        <v>25039</v>
      </c>
      <c r="F40" s="219">
        <v>0</v>
      </c>
      <c r="G40" s="221">
        <f>G41+G49+G51</f>
        <v>38300</v>
      </c>
      <c r="H40" s="219">
        <v>0</v>
      </c>
      <c r="I40" s="219">
        <f>I41</f>
        <v>2500</v>
      </c>
      <c r="J40" s="219">
        <f>J49</f>
        <v>52</v>
      </c>
      <c r="K40" s="219">
        <v>0</v>
      </c>
      <c r="L40" s="219">
        <v>0</v>
      </c>
      <c r="M40" s="219">
        <v>0</v>
      </c>
      <c r="N40" s="219">
        <v>0</v>
      </c>
      <c r="O40" s="111">
        <f>O49</f>
        <v>299</v>
      </c>
      <c r="P40" s="219">
        <v>0</v>
      </c>
      <c r="Q40" s="182">
        <v>126060</v>
      </c>
      <c r="R40" s="182">
        <v>125800</v>
      </c>
      <c r="S40" s="182">
        <f>497000/M20</f>
        <v>65963.23578206914</v>
      </c>
      <c r="T40" s="184">
        <f>379269.27/M20</f>
        <v>50337.68265976508</v>
      </c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  <c r="BF40" s="33"/>
      <c r="BG40" s="33"/>
      <c r="BH40" s="33"/>
      <c r="BI40" s="33"/>
      <c r="BJ40" s="33"/>
      <c r="BK40" s="33"/>
      <c r="BL40" s="33"/>
      <c r="BM40" s="33"/>
    </row>
    <row r="41" spans="1:65" s="36" customFormat="1" x14ac:dyDescent="0.3">
      <c r="A41" s="222">
        <v>3211</v>
      </c>
      <c r="B41" s="223" t="s">
        <v>31</v>
      </c>
      <c r="C41" s="224">
        <v>13600</v>
      </c>
      <c r="D41" s="225">
        <f>D42+D44+D46</f>
        <v>0</v>
      </c>
      <c r="E41" s="226">
        <v>0</v>
      </c>
      <c r="F41" s="227">
        <v>0</v>
      </c>
      <c r="G41" s="228">
        <f>G42+G43+G44+G45+G46+G47</f>
        <v>11100</v>
      </c>
      <c r="H41" s="227">
        <v>0</v>
      </c>
      <c r="I41" s="227">
        <f>I44</f>
        <v>2500</v>
      </c>
      <c r="J41" s="227">
        <v>0</v>
      </c>
      <c r="K41" s="227">
        <v>0</v>
      </c>
      <c r="L41" s="227">
        <v>0</v>
      </c>
      <c r="M41" s="227">
        <v>0</v>
      </c>
      <c r="N41" s="227">
        <v>0</v>
      </c>
      <c r="O41" s="226">
        <v>0</v>
      </c>
      <c r="P41" s="227">
        <v>0</v>
      </c>
      <c r="Q41" s="224">
        <v>13600</v>
      </c>
      <c r="R41" s="224">
        <v>13600</v>
      </c>
      <c r="S41" s="191">
        <f>64000/M20</f>
        <v>8494.2597385360677</v>
      </c>
      <c r="T41" s="229">
        <f>58276.19/M20</f>
        <v>7734.5796005043467</v>
      </c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  <c r="BM41" s="31"/>
    </row>
    <row r="42" spans="1:65" x14ac:dyDescent="0.3">
      <c r="A42" s="96">
        <v>32111</v>
      </c>
      <c r="B42" s="40" t="s">
        <v>72</v>
      </c>
      <c r="C42" s="127">
        <v>4100</v>
      </c>
      <c r="D42" s="63">
        <v>0</v>
      </c>
      <c r="E42" s="60">
        <v>0</v>
      </c>
      <c r="F42" s="60">
        <v>0</v>
      </c>
      <c r="G42" s="121">
        <v>4100</v>
      </c>
      <c r="H42" s="60">
        <v>0</v>
      </c>
      <c r="I42" s="60">
        <v>0</v>
      </c>
      <c r="J42" s="60">
        <v>0</v>
      </c>
      <c r="K42" s="60">
        <v>0</v>
      </c>
      <c r="L42" s="60">
        <v>0</v>
      </c>
      <c r="M42" s="60">
        <v>0</v>
      </c>
      <c r="N42" s="60">
        <v>0</v>
      </c>
      <c r="O42" s="60">
        <v>0</v>
      </c>
      <c r="P42" s="60">
        <v>0</v>
      </c>
      <c r="Q42" s="127">
        <v>4100</v>
      </c>
      <c r="R42" s="127">
        <v>4100</v>
      </c>
      <c r="S42" s="128">
        <f>20000/M20</f>
        <v>2654.4561682925209</v>
      </c>
      <c r="T42" s="176">
        <f>26410/M20</f>
        <v>3505.2093702302741</v>
      </c>
    </row>
    <row r="43" spans="1:65" ht="36.75" x14ac:dyDescent="0.3">
      <c r="A43" s="96">
        <v>32112</v>
      </c>
      <c r="B43" s="40" t="s">
        <v>73</v>
      </c>
      <c r="C43" s="127">
        <v>0</v>
      </c>
      <c r="D43" s="63">
        <v>0</v>
      </c>
      <c r="E43" s="60">
        <v>0</v>
      </c>
      <c r="F43" s="60">
        <v>0</v>
      </c>
      <c r="G43" s="121">
        <v>0</v>
      </c>
      <c r="H43" s="60">
        <v>0</v>
      </c>
      <c r="I43" s="60">
        <v>0</v>
      </c>
      <c r="J43" s="60">
        <v>0</v>
      </c>
      <c r="K43" s="60">
        <v>0</v>
      </c>
      <c r="L43" s="60">
        <v>0</v>
      </c>
      <c r="M43" s="60">
        <v>0</v>
      </c>
      <c r="N43" s="60">
        <v>0</v>
      </c>
      <c r="O43" s="60">
        <v>0</v>
      </c>
      <c r="P43" s="60">
        <v>0</v>
      </c>
      <c r="Q43" s="127">
        <v>0</v>
      </c>
      <c r="R43" s="127">
        <v>0</v>
      </c>
      <c r="S43" s="128">
        <f>8000/M20</f>
        <v>1061.7824673170085</v>
      </c>
      <c r="T43" s="176">
        <f>905.71/M20</f>
        <v>120.20837480921097</v>
      </c>
    </row>
    <row r="44" spans="1:65" ht="36.75" x14ac:dyDescent="0.3">
      <c r="A44" s="96">
        <v>32113</v>
      </c>
      <c r="B44" s="40" t="s">
        <v>74</v>
      </c>
      <c r="C44" s="127">
        <v>7000</v>
      </c>
      <c r="D44" s="63">
        <v>0</v>
      </c>
      <c r="E44" s="60">
        <v>0</v>
      </c>
      <c r="F44" s="60">
        <v>0</v>
      </c>
      <c r="G44" s="121">
        <v>4500</v>
      </c>
      <c r="H44" s="60">
        <v>0</v>
      </c>
      <c r="I44" s="60">
        <v>2500</v>
      </c>
      <c r="J44" s="60">
        <v>0</v>
      </c>
      <c r="K44" s="60">
        <v>0</v>
      </c>
      <c r="L44" s="60">
        <v>0</v>
      </c>
      <c r="M44" s="60">
        <v>0</v>
      </c>
      <c r="N44" s="60">
        <v>0</v>
      </c>
      <c r="O44" s="60">
        <v>0</v>
      </c>
      <c r="P44" s="60">
        <v>0</v>
      </c>
      <c r="Q44" s="127">
        <v>7000</v>
      </c>
      <c r="R44" s="127">
        <v>7000</v>
      </c>
      <c r="S44" s="128">
        <f>15000/M20</f>
        <v>1990.8421262193906</v>
      </c>
      <c r="T44" s="176">
        <f>17744.13/M20</f>
        <v>2355.0507664742186</v>
      </c>
    </row>
    <row r="45" spans="1:65" ht="36.75" x14ac:dyDescent="0.3">
      <c r="A45" s="96">
        <v>32114</v>
      </c>
      <c r="B45" s="40" t="s">
        <v>75</v>
      </c>
      <c r="C45" s="127">
        <v>0</v>
      </c>
      <c r="D45" s="63">
        <v>0</v>
      </c>
      <c r="E45" s="60">
        <v>0</v>
      </c>
      <c r="F45" s="60">
        <v>0</v>
      </c>
      <c r="G45" s="121">
        <v>0</v>
      </c>
      <c r="H45" s="60">
        <v>0</v>
      </c>
      <c r="I45" s="60">
        <v>0</v>
      </c>
      <c r="J45" s="60">
        <v>0</v>
      </c>
      <c r="K45" s="60">
        <v>0</v>
      </c>
      <c r="L45" s="60">
        <v>0</v>
      </c>
      <c r="M45" s="60">
        <v>0</v>
      </c>
      <c r="N45" s="60">
        <v>0</v>
      </c>
      <c r="O45" s="60">
        <v>0</v>
      </c>
      <c r="P45" s="60">
        <v>0</v>
      </c>
      <c r="Q45" s="127">
        <v>0</v>
      </c>
      <c r="R45" s="127">
        <v>0</v>
      </c>
      <c r="S45" s="128">
        <f>8000/M20</f>
        <v>1061.7824673170085</v>
      </c>
      <c r="T45" s="176">
        <v>0</v>
      </c>
    </row>
    <row r="46" spans="1:65" ht="36.75" x14ac:dyDescent="0.3">
      <c r="A46" s="96">
        <v>32115</v>
      </c>
      <c r="B46" s="40" t="s">
        <v>76</v>
      </c>
      <c r="C46" s="127">
        <v>2500</v>
      </c>
      <c r="D46" s="63">
        <v>0</v>
      </c>
      <c r="E46" s="60">
        <v>0</v>
      </c>
      <c r="F46" s="60">
        <v>0</v>
      </c>
      <c r="G46" s="121">
        <v>2500</v>
      </c>
      <c r="H46" s="60">
        <v>0</v>
      </c>
      <c r="I46" s="60">
        <v>0</v>
      </c>
      <c r="J46" s="60">
        <v>0</v>
      </c>
      <c r="K46" s="60">
        <v>0</v>
      </c>
      <c r="L46" s="60">
        <v>0</v>
      </c>
      <c r="M46" s="60">
        <v>0</v>
      </c>
      <c r="N46" s="60">
        <v>0</v>
      </c>
      <c r="O46" s="60">
        <v>0</v>
      </c>
      <c r="P46" s="60">
        <v>0</v>
      </c>
      <c r="Q46" s="127">
        <v>2500</v>
      </c>
      <c r="R46" s="127">
        <v>2500</v>
      </c>
      <c r="S46" s="128">
        <f>10000/M20</f>
        <v>1327.2280841462605</v>
      </c>
      <c r="T46" s="176">
        <f>13216.35/M20</f>
        <v>1754.1110889906429</v>
      </c>
    </row>
    <row r="47" spans="1:65" ht="36.75" x14ac:dyDescent="0.3">
      <c r="A47" s="96">
        <v>32116</v>
      </c>
      <c r="B47" s="40" t="s">
        <v>77</v>
      </c>
      <c r="C47" s="127">
        <v>0</v>
      </c>
      <c r="D47" s="63">
        <v>0</v>
      </c>
      <c r="E47" s="60">
        <v>0</v>
      </c>
      <c r="F47" s="60">
        <v>0</v>
      </c>
      <c r="G47" s="121">
        <v>0</v>
      </c>
      <c r="H47" s="60">
        <v>0</v>
      </c>
      <c r="I47" s="60">
        <v>0</v>
      </c>
      <c r="J47" s="60">
        <v>0</v>
      </c>
      <c r="K47" s="60">
        <v>0</v>
      </c>
      <c r="L47" s="60">
        <v>0</v>
      </c>
      <c r="M47" s="60">
        <v>0</v>
      </c>
      <c r="N47" s="60">
        <v>0</v>
      </c>
      <c r="O47" s="60">
        <v>0</v>
      </c>
      <c r="P47" s="60">
        <v>0</v>
      </c>
      <c r="Q47" s="127">
        <v>0</v>
      </c>
      <c r="R47" s="127">
        <v>0</v>
      </c>
      <c r="S47" s="128">
        <f>3000/M20</f>
        <v>398.16842524387812</v>
      </c>
      <c r="T47" s="176">
        <v>0</v>
      </c>
    </row>
    <row r="48" spans="1:65" x14ac:dyDescent="0.3">
      <c r="A48" s="96">
        <v>32117</v>
      </c>
      <c r="B48" s="40" t="s">
        <v>78</v>
      </c>
      <c r="C48" s="127">
        <v>0</v>
      </c>
      <c r="D48" s="63">
        <v>0</v>
      </c>
      <c r="E48" s="60">
        <v>0</v>
      </c>
      <c r="F48" s="60">
        <v>0</v>
      </c>
      <c r="G48" s="121">
        <v>0</v>
      </c>
      <c r="H48" s="60">
        <v>0</v>
      </c>
      <c r="I48" s="60">
        <v>0</v>
      </c>
      <c r="J48" s="60">
        <v>0</v>
      </c>
      <c r="K48" s="60">
        <v>0</v>
      </c>
      <c r="L48" s="60">
        <v>0</v>
      </c>
      <c r="M48" s="60">
        <v>0</v>
      </c>
      <c r="N48" s="60">
        <v>0</v>
      </c>
      <c r="O48" s="60">
        <v>0</v>
      </c>
      <c r="P48" s="60">
        <v>0</v>
      </c>
      <c r="Q48" s="127">
        <v>0</v>
      </c>
      <c r="R48" s="127">
        <v>0</v>
      </c>
      <c r="S48" s="128">
        <v>0</v>
      </c>
      <c r="T48" s="176">
        <v>0</v>
      </c>
    </row>
    <row r="49" spans="1:65" ht="36.75" x14ac:dyDescent="0.3">
      <c r="A49" s="95">
        <v>3212</v>
      </c>
      <c r="B49" s="38" t="s">
        <v>215</v>
      </c>
      <c r="C49" s="308">
        <v>111390</v>
      </c>
      <c r="D49" s="309">
        <v>60000</v>
      </c>
      <c r="E49" s="62">
        <f>E50</f>
        <v>25039</v>
      </c>
      <c r="F49" s="62">
        <v>0</v>
      </c>
      <c r="G49" s="310">
        <f>G50</f>
        <v>26000</v>
      </c>
      <c r="H49" s="62">
        <v>0</v>
      </c>
      <c r="I49" s="62">
        <v>0</v>
      </c>
      <c r="J49" s="62">
        <f>J50</f>
        <v>52</v>
      </c>
      <c r="K49" s="62">
        <v>0</v>
      </c>
      <c r="L49" s="62">
        <v>0</v>
      </c>
      <c r="M49" s="62">
        <v>0</v>
      </c>
      <c r="N49" s="62">
        <v>0</v>
      </c>
      <c r="O49" s="62">
        <f>O50</f>
        <v>299</v>
      </c>
      <c r="P49" s="62">
        <v>0</v>
      </c>
      <c r="Q49" s="308">
        <v>111260</v>
      </c>
      <c r="R49" s="308">
        <v>111000</v>
      </c>
      <c r="S49" s="311">
        <f>S50</f>
        <v>56141.747959386819</v>
      </c>
      <c r="T49" s="312">
        <f>T50</f>
        <v>41972.669719291262</v>
      </c>
    </row>
    <row r="50" spans="1:65" s="36" customFormat="1" ht="36.75" x14ac:dyDescent="0.3">
      <c r="A50" s="97">
        <v>32121</v>
      </c>
      <c r="B50" s="42" t="s">
        <v>150</v>
      </c>
      <c r="C50" s="196">
        <v>111390</v>
      </c>
      <c r="D50" s="306">
        <v>60000</v>
      </c>
      <c r="E50" s="307">
        <v>25039</v>
      </c>
      <c r="F50" s="197">
        <v>0</v>
      </c>
      <c r="G50" s="303">
        <v>26000</v>
      </c>
      <c r="H50" s="197">
        <v>0</v>
      </c>
      <c r="I50" s="197">
        <v>0</v>
      </c>
      <c r="J50" s="197">
        <v>52</v>
      </c>
      <c r="K50" s="197">
        <v>0</v>
      </c>
      <c r="L50" s="197">
        <v>0</v>
      </c>
      <c r="M50" s="197">
        <v>0</v>
      </c>
      <c r="N50" s="197">
        <v>0</v>
      </c>
      <c r="O50" s="307">
        <v>299</v>
      </c>
      <c r="P50" s="197">
        <v>0</v>
      </c>
      <c r="Q50" s="196">
        <v>111061</v>
      </c>
      <c r="R50" s="196">
        <v>111000</v>
      </c>
      <c r="S50" s="302">
        <f>423000/M20</f>
        <v>56141.747959386819</v>
      </c>
      <c r="T50" s="305">
        <f>316243.08/M20</f>
        <v>41972.669719291262</v>
      </c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</row>
    <row r="51" spans="1:65" s="36" customFormat="1" x14ac:dyDescent="0.3">
      <c r="A51" s="95">
        <v>3213</v>
      </c>
      <c r="B51" s="38" t="s">
        <v>32</v>
      </c>
      <c r="C51" s="126">
        <v>1200</v>
      </c>
      <c r="D51" s="113">
        <v>0</v>
      </c>
      <c r="E51" s="116">
        <v>0</v>
      </c>
      <c r="F51" s="64">
        <v>0</v>
      </c>
      <c r="G51" s="120">
        <f>G52+G53</f>
        <v>1200</v>
      </c>
      <c r="H51" s="64">
        <v>0</v>
      </c>
      <c r="I51" s="64">
        <v>0</v>
      </c>
      <c r="J51" s="64">
        <v>0</v>
      </c>
      <c r="K51" s="64">
        <v>0</v>
      </c>
      <c r="L51" s="64">
        <v>0</v>
      </c>
      <c r="M51" s="64">
        <v>0</v>
      </c>
      <c r="N51" s="64">
        <v>0</v>
      </c>
      <c r="O51" s="64">
        <v>0</v>
      </c>
      <c r="P51" s="64">
        <v>0</v>
      </c>
      <c r="Q51" s="126">
        <v>1200</v>
      </c>
      <c r="R51" s="126">
        <v>1200</v>
      </c>
      <c r="S51" s="192">
        <f>10000/M20</f>
        <v>1327.2280841462605</v>
      </c>
      <c r="T51" s="198">
        <f>4750/M20</f>
        <v>630.43333996947376</v>
      </c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</row>
    <row r="52" spans="1:65" ht="36.75" x14ac:dyDescent="0.3">
      <c r="A52" s="96">
        <v>32131</v>
      </c>
      <c r="B52" s="40" t="s">
        <v>79</v>
      </c>
      <c r="C52" s="127">
        <v>900</v>
      </c>
      <c r="D52" s="63">
        <v>0</v>
      </c>
      <c r="E52" s="67">
        <v>0</v>
      </c>
      <c r="F52" s="67">
        <v>0</v>
      </c>
      <c r="G52" s="121">
        <v>900</v>
      </c>
      <c r="H52" s="67">
        <v>0</v>
      </c>
      <c r="I52" s="67">
        <v>0</v>
      </c>
      <c r="J52" s="67">
        <v>0</v>
      </c>
      <c r="K52" s="67">
        <v>0</v>
      </c>
      <c r="L52" s="67">
        <v>0</v>
      </c>
      <c r="M52" s="67">
        <v>0</v>
      </c>
      <c r="N52" s="67">
        <v>0</v>
      </c>
      <c r="O52" s="67">
        <v>0</v>
      </c>
      <c r="P52" s="67">
        <v>0</v>
      </c>
      <c r="Q52" s="127">
        <v>900</v>
      </c>
      <c r="R52" s="127">
        <v>900</v>
      </c>
      <c r="S52" s="128">
        <f>5000/M20</f>
        <v>663.61404207313024</v>
      </c>
      <c r="T52" s="176">
        <f>4750/M20</f>
        <v>630.43333996947376</v>
      </c>
    </row>
    <row r="53" spans="1:65" x14ac:dyDescent="0.3">
      <c r="A53" s="96">
        <v>32132</v>
      </c>
      <c r="B53" s="40" t="s">
        <v>80</v>
      </c>
      <c r="C53" s="127">
        <v>300</v>
      </c>
      <c r="D53" s="63">
        <v>0</v>
      </c>
      <c r="E53" s="67">
        <v>0</v>
      </c>
      <c r="F53" s="67">
        <v>0</v>
      </c>
      <c r="G53" s="121">
        <v>300</v>
      </c>
      <c r="H53" s="67">
        <v>0</v>
      </c>
      <c r="I53" s="67">
        <v>0</v>
      </c>
      <c r="J53" s="67">
        <v>0</v>
      </c>
      <c r="K53" s="67">
        <v>0</v>
      </c>
      <c r="L53" s="67">
        <v>0</v>
      </c>
      <c r="M53" s="67">
        <v>0</v>
      </c>
      <c r="N53" s="67">
        <v>0</v>
      </c>
      <c r="O53" s="67">
        <v>0</v>
      </c>
      <c r="P53" s="67">
        <v>0</v>
      </c>
      <c r="Q53" s="127">
        <v>300</v>
      </c>
      <c r="R53" s="127">
        <v>300</v>
      </c>
      <c r="S53" s="128">
        <f>5000/M20</f>
        <v>663.61404207313024</v>
      </c>
      <c r="T53" s="176">
        <v>0</v>
      </c>
    </row>
    <row r="54" spans="1:65" s="36" customFormat="1" ht="36.75" x14ac:dyDescent="0.3">
      <c r="A54" s="95">
        <v>3214</v>
      </c>
      <c r="B54" s="38" t="s">
        <v>57</v>
      </c>
      <c r="C54" s="126">
        <v>0</v>
      </c>
      <c r="D54" s="113">
        <v>0</v>
      </c>
      <c r="E54" s="116">
        <v>0</v>
      </c>
      <c r="F54" s="64">
        <v>0</v>
      </c>
      <c r="G54" s="120">
        <v>0</v>
      </c>
      <c r="H54" s="64">
        <v>0</v>
      </c>
      <c r="I54" s="64">
        <v>0</v>
      </c>
      <c r="J54" s="64">
        <v>0</v>
      </c>
      <c r="K54" s="64">
        <v>0</v>
      </c>
      <c r="L54" s="64">
        <v>0</v>
      </c>
      <c r="M54" s="64">
        <v>0</v>
      </c>
      <c r="N54" s="64">
        <v>0</v>
      </c>
      <c r="O54" s="64">
        <v>0</v>
      </c>
      <c r="P54" s="64">
        <v>0</v>
      </c>
      <c r="Q54" s="126">
        <v>0</v>
      </c>
      <c r="R54" s="126">
        <v>0</v>
      </c>
      <c r="S54" s="192">
        <v>0</v>
      </c>
      <c r="T54" s="198">
        <v>0</v>
      </c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</row>
    <row r="55" spans="1:65" ht="36.75" x14ac:dyDescent="0.3">
      <c r="A55" s="96">
        <v>32141</v>
      </c>
      <c r="B55" s="40" t="s">
        <v>57</v>
      </c>
      <c r="C55" s="127">
        <v>0</v>
      </c>
      <c r="D55" s="63">
        <v>0</v>
      </c>
      <c r="E55" s="67">
        <v>0</v>
      </c>
      <c r="F55" s="67">
        <v>0</v>
      </c>
      <c r="G55" s="121">
        <v>0</v>
      </c>
      <c r="H55" s="67">
        <v>0</v>
      </c>
      <c r="I55" s="67">
        <v>0</v>
      </c>
      <c r="J55" s="67">
        <v>0</v>
      </c>
      <c r="K55" s="67">
        <v>0</v>
      </c>
      <c r="L55" s="67">
        <v>0</v>
      </c>
      <c r="M55" s="67">
        <v>0</v>
      </c>
      <c r="N55" s="67">
        <v>0</v>
      </c>
      <c r="O55" s="67">
        <v>0</v>
      </c>
      <c r="P55" s="67">
        <v>0</v>
      </c>
      <c r="Q55" s="127">
        <v>0</v>
      </c>
      <c r="R55" s="127">
        <v>0</v>
      </c>
      <c r="S55" s="128">
        <v>0</v>
      </c>
      <c r="T55" s="176">
        <v>0</v>
      </c>
    </row>
    <row r="56" spans="1:65" ht="19.5" thickBot="1" x14ac:dyDescent="0.35">
      <c r="A56" s="94">
        <v>32149</v>
      </c>
      <c r="B56" s="231" t="s">
        <v>81</v>
      </c>
      <c r="C56" s="125">
        <v>0</v>
      </c>
      <c r="D56" s="232">
        <v>0</v>
      </c>
      <c r="E56" s="68">
        <v>0</v>
      </c>
      <c r="F56" s="68">
        <v>0</v>
      </c>
      <c r="G56" s="123">
        <v>0</v>
      </c>
      <c r="H56" s="68">
        <v>0</v>
      </c>
      <c r="I56" s="68">
        <v>0</v>
      </c>
      <c r="J56" s="68">
        <v>0</v>
      </c>
      <c r="K56" s="68">
        <v>0</v>
      </c>
      <c r="L56" s="68">
        <v>0</v>
      </c>
      <c r="M56" s="68">
        <v>0</v>
      </c>
      <c r="N56" s="68">
        <v>0</v>
      </c>
      <c r="O56" s="68">
        <v>0</v>
      </c>
      <c r="P56" s="68">
        <v>0</v>
      </c>
      <c r="Q56" s="125">
        <v>0</v>
      </c>
      <c r="R56" s="125">
        <v>0</v>
      </c>
      <c r="S56" s="190">
        <v>0</v>
      </c>
      <c r="T56" s="217">
        <v>0</v>
      </c>
    </row>
    <row r="57" spans="1:65" s="32" customFormat="1" ht="37.5" thickBot="1" x14ac:dyDescent="0.35">
      <c r="A57" s="69">
        <v>322</v>
      </c>
      <c r="B57" s="230" t="s">
        <v>3</v>
      </c>
      <c r="C57" s="182">
        <v>122968</v>
      </c>
      <c r="D57" s="220">
        <f>D58+D67+D78</f>
        <v>3900</v>
      </c>
      <c r="E57" s="119">
        <f>E67</f>
        <v>96000</v>
      </c>
      <c r="F57" s="71">
        <v>0</v>
      </c>
      <c r="G57" s="183">
        <f>G58+G65+G67+G73+G78+G80</f>
        <v>22650</v>
      </c>
      <c r="H57" s="71">
        <v>0</v>
      </c>
      <c r="I57" s="71">
        <v>0</v>
      </c>
      <c r="J57" s="71">
        <v>0</v>
      </c>
      <c r="K57" s="71">
        <f>K65</f>
        <v>20</v>
      </c>
      <c r="L57" s="71">
        <v>0</v>
      </c>
      <c r="M57" s="71">
        <v>0</v>
      </c>
      <c r="N57" s="71">
        <v>0</v>
      </c>
      <c r="O57" s="71">
        <v>0</v>
      </c>
      <c r="P57" s="71">
        <f>P65</f>
        <v>398</v>
      </c>
      <c r="Q57" s="182">
        <v>122550</v>
      </c>
      <c r="R57" s="182">
        <v>122550</v>
      </c>
      <c r="S57" s="182">
        <f>365000/M20</f>
        <v>48443.825071338506</v>
      </c>
      <c r="T57" s="184">
        <f>507850.97/M20</f>
        <v>67403.40699449199</v>
      </c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  <c r="BF57" s="33"/>
      <c r="BG57" s="33"/>
      <c r="BH57" s="33"/>
      <c r="BI57" s="33"/>
      <c r="BJ57" s="33"/>
      <c r="BK57" s="33"/>
      <c r="BL57" s="33"/>
      <c r="BM57" s="33"/>
    </row>
    <row r="58" spans="1:65" s="36" customFormat="1" x14ac:dyDescent="0.3">
      <c r="A58" s="222">
        <v>3221</v>
      </c>
      <c r="B58" s="223" t="s">
        <v>33</v>
      </c>
      <c r="C58" s="224">
        <v>5100</v>
      </c>
      <c r="D58" s="225">
        <f>D59+D62+D63+D64</f>
        <v>0</v>
      </c>
      <c r="E58" s="233">
        <v>0</v>
      </c>
      <c r="F58" s="234">
        <v>0</v>
      </c>
      <c r="G58" s="228">
        <f>G59+G60+G62+G63+G64</f>
        <v>5100</v>
      </c>
      <c r="H58" s="234">
        <v>0</v>
      </c>
      <c r="I58" s="234">
        <v>0</v>
      </c>
      <c r="J58" s="234">
        <v>0</v>
      </c>
      <c r="K58" s="234">
        <v>0</v>
      </c>
      <c r="L58" s="234">
        <v>0</v>
      </c>
      <c r="M58" s="234">
        <v>0</v>
      </c>
      <c r="N58" s="234">
        <v>0</v>
      </c>
      <c r="O58" s="234">
        <v>0</v>
      </c>
      <c r="P58" s="234">
        <v>0</v>
      </c>
      <c r="Q58" s="224">
        <v>5100</v>
      </c>
      <c r="R58" s="224">
        <v>5100</v>
      </c>
      <c r="S58" s="191">
        <f>54000/M20</f>
        <v>7167.0316543898061</v>
      </c>
      <c r="T58" s="229">
        <f>17432.77/M20</f>
        <v>2313.7261928462403</v>
      </c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</row>
    <row r="59" spans="1:65" x14ac:dyDescent="0.3">
      <c r="A59" s="96">
        <v>32211</v>
      </c>
      <c r="B59" s="40" t="s">
        <v>33</v>
      </c>
      <c r="C59" s="127">
        <v>2300</v>
      </c>
      <c r="D59" s="63">
        <v>0</v>
      </c>
      <c r="E59" s="67">
        <v>0</v>
      </c>
      <c r="F59" s="67">
        <v>0</v>
      </c>
      <c r="G59" s="121">
        <v>2300</v>
      </c>
      <c r="H59" s="67">
        <v>0</v>
      </c>
      <c r="I59" s="67">
        <v>0</v>
      </c>
      <c r="J59" s="67">
        <v>0</v>
      </c>
      <c r="K59" s="67">
        <v>0</v>
      </c>
      <c r="L59" s="67">
        <v>0</v>
      </c>
      <c r="M59" s="67">
        <v>0</v>
      </c>
      <c r="N59" s="67">
        <v>0</v>
      </c>
      <c r="O59" s="67">
        <v>0</v>
      </c>
      <c r="P59" s="67">
        <v>0</v>
      </c>
      <c r="Q59" s="127">
        <v>2300</v>
      </c>
      <c r="R59" s="127">
        <v>2300</v>
      </c>
      <c r="S59" s="128">
        <f>15000/M20</f>
        <v>1990.8421262193906</v>
      </c>
      <c r="T59" s="176">
        <f>7624.84/M20</f>
        <v>1011.9901785121773</v>
      </c>
    </row>
    <row r="60" spans="1:65" x14ac:dyDescent="0.3">
      <c r="A60" s="96">
        <v>32212</v>
      </c>
      <c r="B60" s="40" t="s">
        <v>82</v>
      </c>
      <c r="C60" s="127">
        <v>0</v>
      </c>
      <c r="D60" s="63">
        <v>0</v>
      </c>
      <c r="E60" s="67">
        <v>0</v>
      </c>
      <c r="F60" s="67">
        <v>0</v>
      </c>
      <c r="G60" s="121">
        <v>0</v>
      </c>
      <c r="H60" s="67">
        <v>0</v>
      </c>
      <c r="I60" s="67">
        <v>0</v>
      </c>
      <c r="J60" s="67">
        <v>0</v>
      </c>
      <c r="K60" s="67">
        <v>0</v>
      </c>
      <c r="L60" s="67">
        <v>0</v>
      </c>
      <c r="M60" s="67">
        <v>0</v>
      </c>
      <c r="N60" s="67">
        <v>0</v>
      </c>
      <c r="O60" s="67">
        <v>0</v>
      </c>
      <c r="P60" s="67">
        <v>0</v>
      </c>
      <c r="Q60" s="127">
        <v>0</v>
      </c>
      <c r="R60" s="127">
        <v>0</v>
      </c>
      <c r="S60" s="128">
        <f>5000/M20</f>
        <v>663.61404207313024</v>
      </c>
      <c r="T60" s="176">
        <f>751.45/M20</f>
        <v>99.734554383170746</v>
      </c>
    </row>
    <row r="61" spans="1:65" x14ac:dyDescent="0.3">
      <c r="A61" s="96">
        <v>32213</v>
      </c>
      <c r="B61" s="40" t="s">
        <v>83</v>
      </c>
      <c r="C61" s="127">
        <v>0</v>
      </c>
      <c r="D61" s="63">
        <v>0</v>
      </c>
      <c r="E61" s="67">
        <v>0</v>
      </c>
      <c r="F61" s="67">
        <v>0</v>
      </c>
      <c r="G61" s="121">
        <v>0</v>
      </c>
      <c r="H61" s="67">
        <v>0</v>
      </c>
      <c r="I61" s="67">
        <v>0</v>
      </c>
      <c r="J61" s="67">
        <v>0</v>
      </c>
      <c r="K61" s="67">
        <v>0</v>
      </c>
      <c r="L61" s="67">
        <v>0</v>
      </c>
      <c r="M61" s="67">
        <v>0</v>
      </c>
      <c r="N61" s="67">
        <v>0</v>
      </c>
      <c r="O61" s="67">
        <v>0</v>
      </c>
      <c r="P61" s="67">
        <v>0</v>
      </c>
      <c r="Q61" s="127">
        <v>0</v>
      </c>
      <c r="R61" s="127">
        <v>0</v>
      </c>
      <c r="S61" s="128">
        <f>5000/M20</f>
        <v>663.61404207313024</v>
      </c>
      <c r="T61" s="176">
        <v>0</v>
      </c>
    </row>
    <row r="62" spans="1:65" ht="36.75" x14ac:dyDescent="0.3">
      <c r="A62" s="96">
        <v>32214</v>
      </c>
      <c r="B62" s="40" t="s">
        <v>84</v>
      </c>
      <c r="C62" s="127">
        <v>400</v>
      </c>
      <c r="D62" s="63">
        <v>0</v>
      </c>
      <c r="E62" s="67">
        <v>0</v>
      </c>
      <c r="F62" s="67">
        <v>0</v>
      </c>
      <c r="G62" s="121">
        <v>400</v>
      </c>
      <c r="H62" s="67">
        <v>0</v>
      </c>
      <c r="I62" s="67">
        <v>0</v>
      </c>
      <c r="J62" s="67">
        <v>0</v>
      </c>
      <c r="K62" s="67">
        <v>0</v>
      </c>
      <c r="L62" s="67">
        <v>0</v>
      </c>
      <c r="M62" s="67">
        <v>0</v>
      </c>
      <c r="N62" s="67">
        <v>0</v>
      </c>
      <c r="O62" s="67">
        <v>0</v>
      </c>
      <c r="P62" s="67">
        <v>0</v>
      </c>
      <c r="Q62" s="127">
        <v>400</v>
      </c>
      <c r="R62" s="127">
        <v>400</v>
      </c>
      <c r="S62" s="128">
        <f>12000/M20</f>
        <v>1592.6737009755125</v>
      </c>
      <c r="T62" s="176">
        <f>251.35/M20</f>
        <v>33.359877895016254</v>
      </c>
    </row>
    <row r="63" spans="1:65" x14ac:dyDescent="0.3">
      <c r="A63" s="96">
        <v>32216</v>
      </c>
      <c r="B63" s="40" t="s">
        <v>85</v>
      </c>
      <c r="C63" s="127">
        <v>1200</v>
      </c>
      <c r="D63" s="63">
        <v>0</v>
      </c>
      <c r="E63" s="67">
        <v>0</v>
      </c>
      <c r="F63" s="67">
        <v>0</v>
      </c>
      <c r="G63" s="121">
        <v>1200</v>
      </c>
      <c r="H63" s="67">
        <v>0</v>
      </c>
      <c r="I63" s="67">
        <v>0</v>
      </c>
      <c r="J63" s="67">
        <v>0</v>
      </c>
      <c r="K63" s="67">
        <v>0</v>
      </c>
      <c r="L63" s="67">
        <v>0</v>
      </c>
      <c r="M63" s="67">
        <v>0</v>
      </c>
      <c r="N63" s="67">
        <v>0</v>
      </c>
      <c r="O63" s="67">
        <v>0</v>
      </c>
      <c r="P63" s="67">
        <v>0</v>
      </c>
      <c r="Q63" s="127">
        <v>1200</v>
      </c>
      <c r="R63" s="127">
        <v>1200</v>
      </c>
      <c r="S63" s="128">
        <f>12000/M20</f>
        <v>1592.6737009755125</v>
      </c>
      <c r="T63" s="176">
        <f>39.96/M20</f>
        <v>5.3036034242484567</v>
      </c>
    </row>
    <row r="64" spans="1:65" ht="36.75" x14ac:dyDescent="0.3">
      <c r="A64" s="96">
        <v>32219</v>
      </c>
      <c r="B64" s="40" t="s">
        <v>86</v>
      </c>
      <c r="C64" s="127">
        <v>1200</v>
      </c>
      <c r="D64" s="63">
        <v>0</v>
      </c>
      <c r="E64" s="67">
        <v>0</v>
      </c>
      <c r="F64" s="67">
        <v>0</v>
      </c>
      <c r="G64" s="121">
        <v>1200</v>
      </c>
      <c r="H64" s="67">
        <v>0</v>
      </c>
      <c r="I64" s="67">
        <v>0</v>
      </c>
      <c r="J64" s="67">
        <v>0</v>
      </c>
      <c r="K64" s="67">
        <v>0</v>
      </c>
      <c r="L64" s="67">
        <v>0</v>
      </c>
      <c r="M64" s="67">
        <v>0</v>
      </c>
      <c r="N64" s="67">
        <v>0</v>
      </c>
      <c r="O64" s="67">
        <v>0</v>
      </c>
      <c r="P64" s="67">
        <v>0</v>
      </c>
      <c r="Q64" s="127">
        <v>1200</v>
      </c>
      <c r="R64" s="127">
        <v>1200</v>
      </c>
      <c r="S64" s="128">
        <f>5000/M20</f>
        <v>663.61404207313024</v>
      </c>
      <c r="T64" s="176">
        <f>8765.17/M20</f>
        <v>1163.3379786316277</v>
      </c>
    </row>
    <row r="65" spans="1:65" s="36" customFormat="1" x14ac:dyDescent="0.3">
      <c r="A65" s="95">
        <v>3222</v>
      </c>
      <c r="B65" s="38" t="s">
        <v>67</v>
      </c>
      <c r="C65" s="126">
        <v>618</v>
      </c>
      <c r="D65" s="113">
        <v>0</v>
      </c>
      <c r="E65" s="116">
        <v>0</v>
      </c>
      <c r="F65" s="64">
        <v>0</v>
      </c>
      <c r="G65" s="120">
        <f>G66</f>
        <v>200</v>
      </c>
      <c r="H65" s="64">
        <v>0</v>
      </c>
      <c r="I65" s="64">
        <v>0</v>
      </c>
      <c r="J65" s="64">
        <v>0</v>
      </c>
      <c r="K65" s="64">
        <f>K66</f>
        <v>20</v>
      </c>
      <c r="L65" s="64">
        <v>0</v>
      </c>
      <c r="M65" s="64">
        <v>0</v>
      </c>
      <c r="N65" s="64">
        <v>0</v>
      </c>
      <c r="O65" s="64">
        <v>0</v>
      </c>
      <c r="P65" s="64">
        <f>P66</f>
        <v>398</v>
      </c>
      <c r="Q65" s="126">
        <v>200</v>
      </c>
      <c r="R65" s="126">
        <v>200</v>
      </c>
      <c r="S65" s="192">
        <v>0</v>
      </c>
      <c r="T65" s="198">
        <v>0</v>
      </c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31"/>
      <c r="BJ65" s="31"/>
      <c r="BK65" s="31"/>
      <c r="BL65" s="31"/>
      <c r="BM65" s="31"/>
    </row>
    <row r="66" spans="1:65" s="36" customFormat="1" x14ac:dyDescent="0.3">
      <c r="A66" s="97">
        <v>32224</v>
      </c>
      <c r="B66" s="42" t="s">
        <v>213</v>
      </c>
      <c r="C66" s="196">
        <v>618</v>
      </c>
      <c r="D66" s="306">
        <v>0</v>
      </c>
      <c r="E66" s="304">
        <v>0</v>
      </c>
      <c r="F66" s="66">
        <v>0</v>
      </c>
      <c r="G66" s="303">
        <v>200</v>
      </c>
      <c r="H66" s="66">
        <v>0</v>
      </c>
      <c r="I66" s="66">
        <v>0</v>
      </c>
      <c r="J66" s="66">
        <v>0</v>
      </c>
      <c r="K66" s="66">
        <v>20</v>
      </c>
      <c r="L66" s="66">
        <v>0</v>
      </c>
      <c r="M66" s="66">
        <v>0</v>
      </c>
      <c r="N66" s="66">
        <v>0</v>
      </c>
      <c r="O66" s="66">
        <v>0</v>
      </c>
      <c r="P66" s="66">
        <v>398</v>
      </c>
      <c r="Q66" s="196">
        <v>200</v>
      </c>
      <c r="R66" s="196">
        <v>200</v>
      </c>
      <c r="S66" s="302">
        <v>0</v>
      </c>
      <c r="T66" s="305">
        <v>0</v>
      </c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1"/>
      <c r="BM66" s="31"/>
    </row>
    <row r="67" spans="1:65" s="36" customFormat="1" x14ac:dyDescent="0.3">
      <c r="A67" s="95">
        <v>3223</v>
      </c>
      <c r="B67" s="38" t="s">
        <v>34</v>
      </c>
      <c r="C67" s="126">
        <v>115600</v>
      </c>
      <c r="D67" s="113">
        <f>D70</f>
        <v>3900</v>
      </c>
      <c r="E67" s="116">
        <f>E68+E70</f>
        <v>96000</v>
      </c>
      <c r="F67" s="64">
        <v>0</v>
      </c>
      <c r="G67" s="120">
        <f>G70+G71</f>
        <v>15700</v>
      </c>
      <c r="H67" s="64">
        <v>0</v>
      </c>
      <c r="I67" s="64">
        <v>0</v>
      </c>
      <c r="J67" s="64">
        <v>0</v>
      </c>
      <c r="K67" s="64">
        <v>0</v>
      </c>
      <c r="L67" s="64">
        <v>0</v>
      </c>
      <c r="M67" s="64">
        <v>0</v>
      </c>
      <c r="N67" s="64">
        <v>0</v>
      </c>
      <c r="O67" s="64">
        <v>0</v>
      </c>
      <c r="P67" s="64">
        <v>0</v>
      </c>
      <c r="Q67" s="126">
        <v>115600</v>
      </c>
      <c r="R67" s="126">
        <v>115600</v>
      </c>
      <c r="S67" s="192">
        <f>265000/M20</f>
        <v>35171.544229875901</v>
      </c>
      <c r="T67" s="198">
        <f>476396.15/M20</f>
        <v>63228.634945915452</v>
      </c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1"/>
      <c r="BH67" s="31"/>
      <c r="BI67" s="31"/>
      <c r="BJ67" s="31"/>
      <c r="BK67" s="31"/>
      <c r="BL67" s="31"/>
      <c r="BM67" s="31"/>
    </row>
    <row r="68" spans="1:65" x14ac:dyDescent="0.3">
      <c r="A68" s="96">
        <v>32231</v>
      </c>
      <c r="B68" s="40" t="s">
        <v>34</v>
      </c>
      <c r="C68" s="127">
        <v>17000</v>
      </c>
      <c r="D68" s="63">
        <v>0</v>
      </c>
      <c r="E68" s="67">
        <v>17000</v>
      </c>
      <c r="F68" s="67">
        <v>0</v>
      </c>
      <c r="G68" s="121">
        <v>0</v>
      </c>
      <c r="H68" s="67">
        <v>0</v>
      </c>
      <c r="I68" s="67">
        <v>0</v>
      </c>
      <c r="J68" s="67">
        <v>0</v>
      </c>
      <c r="K68" s="67">
        <v>0</v>
      </c>
      <c r="L68" s="67">
        <v>0</v>
      </c>
      <c r="M68" s="67">
        <v>0</v>
      </c>
      <c r="N68" s="67">
        <v>0</v>
      </c>
      <c r="O68" s="67">
        <v>0</v>
      </c>
      <c r="P68" s="67">
        <v>0</v>
      </c>
      <c r="Q68" s="127">
        <v>17000</v>
      </c>
      <c r="R68" s="127">
        <v>17000</v>
      </c>
      <c r="S68" s="128">
        <f>80000/M20</f>
        <v>10617.824673170084</v>
      </c>
      <c r="T68" s="176">
        <f>45220.11/M20</f>
        <v>6001.7399960183157</v>
      </c>
    </row>
    <row r="69" spans="1:65" x14ac:dyDescent="0.3">
      <c r="A69" s="96">
        <v>32232</v>
      </c>
      <c r="B69" s="40" t="s">
        <v>87</v>
      </c>
      <c r="C69" s="127">
        <v>0</v>
      </c>
      <c r="D69" s="63">
        <v>0</v>
      </c>
      <c r="E69" s="67">
        <v>0</v>
      </c>
      <c r="F69" s="67">
        <v>0</v>
      </c>
      <c r="G69" s="121">
        <v>0</v>
      </c>
      <c r="H69" s="67">
        <v>0</v>
      </c>
      <c r="I69" s="67">
        <v>0</v>
      </c>
      <c r="J69" s="67">
        <v>0</v>
      </c>
      <c r="K69" s="67">
        <v>0</v>
      </c>
      <c r="L69" s="67">
        <v>0</v>
      </c>
      <c r="M69" s="67">
        <v>0</v>
      </c>
      <c r="N69" s="67">
        <v>0</v>
      </c>
      <c r="O69" s="67">
        <v>0</v>
      </c>
      <c r="P69" s="67">
        <v>0</v>
      </c>
      <c r="Q69" s="127">
        <v>0</v>
      </c>
      <c r="R69" s="127">
        <v>0</v>
      </c>
      <c r="S69" s="128">
        <v>0</v>
      </c>
      <c r="T69" s="176">
        <v>0</v>
      </c>
    </row>
    <row r="70" spans="1:65" x14ac:dyDescent="0.3">
      <c r="A70" s="96">
        <v>32233</v>
      </c>
      <c r="B70" s="40" t="s">
        <v>88</v>
      </c>
      <c r="C70" s="127">
        <v>96100</v>
      </c>
      <c r="D70" s="63">
        <v>3900</v>
      </c>
      <c r="E70" s="67">
        <v>79000</v>
      </c>
      <c r="F70" s="67">
        <v>0</v>
      </c>
      <c r="G70" s="121">
        <v>13200</v>
      </c>
      <c r="H70" s="67">
        <v>0</v>
      </c>
      <c r="I70" s="67">
        <v>0</v>
      </c>
      <c r="J70" s="67">
        <v>0</v>
      </c>
      <c r="K70" s="67">
        <v>0</v>
      </c>
      <c r="L70" s="67">
        <v>0</v>
      </c>
      <c r="M70" s="67">
        <v>0</v>
      </c>
      <c r="N70" s="67">
        <v>0</v>
      </c>
      <c r="O70" s="67">
        <v>0</v>
      </c>
      <c r="P70" s="67">
        <v>0</v>
      </c>
      <c r="Q70" s="127">
        <v>96100</v>
      </c>
      <c r="R70" s="127">
        <v>96100</v>
      </c>
      <c r="S70" s="128">
        <f>170000/M20</f>
        <v>22562.877430486427</v>
      </c>
      <c r="T70" s="176">
        <f>421367.13/M20</f>
        <v>55925.028867210829</v>
      </c>
    </row>
    <row r="71" spans="1:65" x14ac:dyDescent="0.3">
      <c r="A71" s="96">
        <v>32234</v>
      </c>
      <c r="B71" s="40" t="s">
        <v>89</v>
      </c>
      <c r="C71" s="127">
        <v>2500</v>
      </c>
      <c r="D71" s="63">
        <v>0</v>
      </c>
      <c r="E71" s="67">
        <v>0</v>
      </c>
      <c r="F71" s="67">
        <v>0</v>
      </c>
      <c r="G71" s="121">
        <v>2500</v>
      </c>
      <c r="H71" s="67">
        <v>0</v>
      </c>
      <c r="I71" s="67">
        <v>0</v>
      </c>
      <c r="J71" s="67">
        <v>0</v>
      </c>
      <c r="K71" s="67">
        <v>0</v>
      </c>
      <c r="L71" s="67">
        <v>0</v>
      </c>
      <c r="M71" s="67">
        <v>0</v>
      </c>
      <c r="N71" s="67">
        <v>0</v>
      </c>
      <c r="O71" s="67">
        <v>0</v>
      </c>
      <c r="P71" s="67">
        <v>0</v>
      </c>
      <c r="Q71" s="127">
        <v>2500</v>
      </c>
      <c r="R71" s="127">
        <v>2500</v>
      </c>
      <c r="S71" s="128">
        <f>15000/M20</f>
        <v>1990.8421262193906</v>
      </c>
      <c r="T71" s="176">
        <f>9808.91/M20</f>
        <v>1301.8660826863095</v>
      </c>
    </row>
    <row r="72" spans="1:65" ht="36.75" x14ac:dyDescent="0.3">
      <c r="A72" s="96">
        <v>32239</v>
      </c>
      <c r="B72" s="40" t="s">
        <v>90</v>
      </c>
      <c r="C72" s="127">
        <v>0</v>
      </c>
      <c r="D72" s="63">
        <v>0</v>
      </c>
      <c r="E72" s="67">
        <v>0</v>
      </c>
      <c r="F72" s="67">
        <v>0</v>
      </c>
      <c r="G72" s="121">
        <v>0</v>
      </c>
      <c r="H72" s="67">
        <v>0</v>
      </c>
      <c r="I72" s="67">
        <v>0</v>
      </c>
      <c r="J72" s="67">
        <v>0</v>
      </c>
      <c r="K72" s="67">
        <v>0</v>
      </c>
      <c r="L72" s="67">
        <v>0</v>
      </c>
      <c r="M72" s="67">
        <v>0</v>
      </c>
      <c r="N72" s="67">
        <v>0</v>
      </c>
      <c r="O72" s="67">
        <v>0</v>
      </c>
      <c r="P72" s="67">
        <v>0</v>
      </c>
      <c r="Q72" s="127">
        <v>0</v>
      </c>
      <c r="R72" s="127">
        <v>0</v>
      </c>
      <c r="S72" s="128">
        <v>0</v>
      </c>
      <c r="T72" s="176">
        <v>0</v>
      </c>
    </row>
    <row r="73" spans="1:65" s="36" customFormat="1" x14ac:dyDescent="0.3">
      <c r="A73" s="95">
        <v>3224</v>
      </c>
      <c r="B73" s="38" t="s">
        <v>35</v>
      </c>
      <c r="C73" s="126">
        <v>1650</v>
      </c>
      <c r="D73" s="113">
        <v>0</v>
      </c>
      <c r="E73" s="116">
        <v>0</v>
      </c>
      <c r="F73" s="64">
        <v>0</v>
      </c>
      <c r="G73" s="120">
        <f>G74+G75+G76+G77</f>
        <v>1650</v>
      </c>
      <c r="H73" s="64">
        <v>0</v>
      </c>
      <c r="I73" s="64">
        <v>0</v>
      </c>
      <c r="J73" s="64">
        <v>0</v>
      </c>
      <c r="K73" s="64">
        <v>0</v>
      </c>
      <c r="L73" s="64">
        <v>0</v>
      </c>
      <c r="M73" s="64">
        <v>0</v>
      </c>
      <c r="N73" s="64">
        <v>0</v>
      </c>
      <c r="O73" s="64">
        <v>0</v>
      </c>
      <c r="P73" s="64">
        <v>0</v>
      </c>
      <c r="Q73" s="126">
        <v>1650</v>
      </c>
      <c r="R73" s="126">
        <v>1650</v>
      </c>
      <c r="S73" s="192">
        <f>26000/M20</f>
        <v>3450.7930187802772</v>
      </c>
      <c r="T73" s="198">
        <f>7038.17/M20</f>
        <v>934.12568849956858</v>
      </c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</row>
    <row r="74" spans="1:65" s="31" customFormat="1" ht="36.75" x14ac:dyDescent="0.3">
      <c r="A74" s="97">
        <v>32241</v>
      </c>
      <c r="B74" s="42" t="s">
        <v>93</v>
      </c>
      <c r="C74" s="127">
        <v>500</v>
      </c>
      <c r="D74" s="114">
        <v>0</v>
      </c>
      <c r="E74" s="117">
        <v>0</v>
      </c>
      <c r="F74" s="66">
        <v>0</v>
      </c>
      <c r="G74" s="121">
        <v>500</v>
      </c>
      <c r="H74" s="66">
        <v>0</v>
      </c>
      <c r="I74" s="66">
        <v>0</v>
      </c>
      <c r="J74" s="66">
        <v>0</v>
      </c>
      <c r="K74" s="66">
        <v>0</v>
      </c>
      <c r="L74" s="66">
        <v>0</v>
      </c>
      <c r="M74" s="66">
        <v>0</v>
      </c>
      <c r="N74" s="66">
        <v>0</v>
      </c>
      <c r="O74" s="66">
        <v>0</v>
      </c>
      <c r="P74" s="66">
        <v>0</v>
      </c>
      <c r="Q74" s="127">
        <v>500</v>
      </c>
      <c r="R74" s="127">
        <v>500</v>
      </c>
      <c r="S74" s="128">
        <f>5000/M20</f>
        <v>663.61404207313024</v>
      </c>
      <c r="T74" s="176">
        <f>1822.77/M20</f>
        <v>241.92315349392791</v>
      </c>
    </row>
    <row r="75" spans="1:65" s="31" customFormat="1" ht="36.75" customHeight="1" x14ac:dyDescent="0.3">
      <c r="A75" s="97">
        <v>32242</v>
      </c>
      <c r="B75" s="42" t="s">
        <v>154</v>
      </c>
      <c r="C75" s="127">
        <v>200</v>
      </c>
      <c r="D75" s="114">
        <v>0</v>
      </c>
      <c r="E75" s="117">
        <v>0</v>
      </c>
      <c r="F75" s="66">
        <v>0</v>
      </c>
      <c r="G75" s="121">
        <v>200</v>
      </c>
      <c r="H75" s="66">
        <v>0</v>
      </c>
      <c r="I75" s="66">
        <v>0</v>
      </c>
      <c r="J75" s="66">
        <v>0</v>
      </c>
      <c r="K75" s="66">
        <v>0</v>
      </c>
      <c r="L75" s="66">
        <v>0</v>
      </c>
      <c r="M75" s="66">
        <v>0</v>
      </c>
      <c r="N75" s="66">
        <v>0</v>
      </c>
      <c r="O75" s="66">
        <v>0</v>
      </c>
      <c r="P75" s="66">
        <v>0</v>
      </c>
      <c r="Q75" s="127">
        <v>200</v>
      </c>
      <c r="R75" s="127">
        <v>200</v>
      </c>
      <c r="S75" s="128">
        <f>10000/M20</f>
        <v>1327.2280841462605</v>
      </c>
      <c r="T75" s="176">
        <f>619.72/M20</f>
        <v>82.250978830712057</v>
      </c>
    </row>
    <row r="76" spans="1:65" s="31" customFormat="1" ht="36.75" customHeight="1" x14ac:dyDescent="0.3">
      <c r="A76" s="97">
        <v>32243</v>
      </c>
      <c r="B76" s="42" t="s">
        <v>175</v>
      </c>
      <c r="C76" s="127">
        <v>150</v>
      </c>
      <c r="D76" s="114">
        <v>0</v>
      </c>
      <c r="E76" s="117">
        <v>0</v>
      </c>
      <c r="F76" s="66">
        <v>0</v>
      </c>
      <c r="G76" s="121">
        <v>150</v>
      </c>
      <c r="H76" s="66">
        <v>0</v>
      </c>
      <c r="I76" s="66">
        <v>0</v>
      </c>
      <c r="J76" s="66">
        <v>0</v>
      </c>
      <c r="K76" s="66">
        <v>0</v>
      </c>
      <c r="L76" s="66">
        <v>0</v>
      </c>
      <c r="M76" s="66">
        <v>0</v>
      </c>
      <c r="N76" s="66">
        <v>0</v>
      </c>
      <c r="O76" s="66">
        <v>0</v>
      </c>
      <c r="P76" s="66">
        <v>0</v>
      </c>
      <c r="Q76" s="127">
        <v>150</v>
      </c>
      <c r="R76" s="127">
        <v>150</v>
      </c>
      <c r="S76" s="128">
        <f>1000/M20</f>
        <v>132.72280841462606</v>
      </c>
      <c r="T76" s="176">
        <f>289.83/M20</f>
        <v>38.467051562811065</v>
      </c>
    </row>
    <row r="77" spans="1:65" s="31" customFormat="1" ht="36.75" x14ac:dyDescent="0.3">
      <c r="A77" s="97">
        <v>32244</v>
      </c>
      <c r="B77" s="42" t="s">
        <v>94</v>
      </c>
      <c r="C77" s="127">
        <v>800</v>
      </c>
      <c r="D77" s="114">
        <v>0</v>
      </c>
      <c r="E77" s="117">
        <v>0</v>
      </c>
      <c r="F77" s="66">
        <v>0</v>
      </c>
      <c r="G77" s="121">
        <v>800</v>
      </c>
      <c r="H77" s="66">
        <v>0</v>
      </c>
      <c r="I77" s="66">
        <v>0</v>
      </c>
      <c r="J77" s="66">
        <v>0</v>
      </c>
      <c r="K77" s="66">
        <v>0</v>
      </c>
      <c r="L77" s="66">
        <v>0</v>
      </c>
      <c r="M77" s="66">
        <v>0</v>
      </c>
      <c r="N77" s="66">
        <v>0</v>
      </c>
      <c r="O77" s="66">
        <v>0</v>
      </c>
      <c r="P77" s="66">
        <v>0</v>
      </c>
      <c r="Q77" s="127">
        <v>800</v>
      </c>
      <c r="R77" s="127">
        <v>800</v>
      </c>
      <c r="S77" s="128">
        <f>10000/M20</f>
        <v>1327.2280841462605</v>
      </c>
      <c r="T77" s="176">
        <f>4305.85/M20</f>
        <v>571.48450461211758</v>
      </c>
    </row>
    <row r="78" spans="1:65" s="36" customFormat="1" x14ac:dyDescent="0.3">
      <c r="A78" s="95">
        <v>3225</v>
      </c>
      <c r="B78" s="38" t="s">
        <v>36</v>
      </c>
      <c r="C78" s="126">
        <v>0</v>
      </c>
      <c r="D78" s="113">
        <f>D79</f>
        <v>0</v>
      </c>
      <c r="E78" s="116">
        <v>0</v>
      </c>
      <c r="F78" s="64">
        <v>0</v>
      </c>
      <c r="G78" s="120">
        <f>G79</f>
        <v>0</v>
      </c>
      <c r="H78" s="64">
        <v>0</v>
      </c>
      <c r="I78" s="64">
        <v>0</v>
      </c>
      <c r="J78" s="64">
        <v>0</v>
      </c>
      <c r="K78" s="64">
        <v>0</v>
      </c>
      <c r="L78" s="64">
        <v>0</v>
      </c>
      <c r="M78" s="64">
        <v>0</v>
      </c>
      <c r="N78" s="64">
        <v>0</v>
      </c>
      <c r="O78" s="64">
        <v>0</v>
      </c>
      <c r="P78" s="64">
        <v>0</v>
      </c>
      <c r="Q78" s="126">
        <v>0</v>
      </c>
      <c r="R78" s="126">
        <v>0</v>
      </c>
      <c r="S78" s="192">
        <f>15000/M20</f>
        <v>1990.8421262193906</v>
      </c>
      <c r="T78" s="198">
        <f>5214.67/M20</f>
        <v>692.10564735549804</v>
      </c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31"/>
      <c r="BK78" s="31"/>
      <c r="BL78" s="31"/>
      <c r="BM78" s="31"/>
    </row>
    <row r="79" spans="1:65" x14ac:dyDescent="0.3">
      <c r="A79" s="96">
        <v>32251</v>
      </c>
      <c r="B79" s="40" t="s">
        <v>36</v>
      </c>
      <c r="C79" s="127">
        <v>0</v>
      </c>
      <c r="D79" s="63">
        <v>0</v>
      </c>
      <c r="E79" s="67">
        <v>0</v>
      </c>
      <c r="F79" s="67">
        <v>0</v>
      </c>
      <c r="G79" s="121">
        <v>0</v>
      </c>
      <c r="H79" s="67">
        <v>0</v>
      </c>
      <c r="I79" s="67">
        <v>0</v>
      </c>
      <c r="J79" s="67">
        <v>0</v>
      </c>
      <c r="K79" s="67">
        <v>0</v>
      </c>
      <c r="L79" s="67">
        <v>0</v>
      </c>
      <c r="M79" s="67">
        <v>0</v>
      </c>
      <c r="N79" s="67">
        <v>0</v>
      </c>
      <c r="O79" s="67">
        <v>0</v>
      </c>
      <c r="P79" s="67">
        <v>0</v>
      </c>
      <c r="Q79" s="127">
        <v>0</v>
      </c>
      <c r="R79" s="127">
        <v>0</v>
      </c>
      <c r="S79" s="128">
        <f>15000/M20</f>
        <v>1990.8421262193906</v>
      </c>
      <c r="T79" s="176">
        <f>5214.67/M20</f>
        <v>692.10564735549804</v>
      </c>
    </row>
    <row r="80" spans="1:65" s="36" customFormat="1" x14ac:dyDescent="0.3">
      <c r="A80" s="95">
        <v>3227</v>
      </c>
      <c r="B80" s="43" t="s">
        <v>58</v>
      </c>
      <c r="C80" s="126">
        <v>0</v>
      </c>
      <c r="D80" s="113">
        <v>0</v>
      </c>
      <c r="E80" s="116">
        <v>0</v>
      </c>
      <c r="F80" s="64">
        <v>0</v>
      </c>
      <c r="G80" s="120">
        <f>G81</f>
        <v>0</v>
      </c>
      <c r="H80" s="64">
        <v>0</v>
      </c>
      <c r="I80" s="64">
        <v>0</v>
      </c>
      <c r="J80" s="64">
        <v>0</v>
      </c>
      <c r="K80" s="64">
        <v>0</v>
      </c>
      <c r="L80" s="64">
        <v>0</v>
      </c>
      <c r="M80" s="64">
        <v>0</v>
      </c>
      <c r="N80" s="64">
        <v>0</v>
      </c>
      <c r="O80" s="64">
        <v>0</v>
      </c>
      <c r="P80" s="64">
        <v>0</v>
      </c>
      <c r="Q80" s="126">
        <v>0</v>
      </c>
      <c r="R80" s="126">
        <v>0</v>
      </c>
      <c r="S80" s="192">
        <f>5000/M20</f>
        <v>663.61404207313024</v>
      </c>
      <c r="T80" s="198">
        <f>1769.21/M20</f>
        <v>234.81451987524056</v>
      </c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  <c r="AV80" s="31"/>
      <c r="AW80" s="31"/>
      <c r="AX80" s="31"/>
      <c r="AY80" s="31"/>
      <c r="AZ80" s="31"/>
      <c r="BA80" s="31"/>
      <c r="BB80" s="31"/>
      <c r="BC80" s="31"/>
      <c r="BD80" s="31"/>
      <c r="BE80" s="31"/>
      <c r="BF80" s="31"/>
      <c r="BG80" s="31"/>
      <c r="BH80" s="31"/>
      <c r="BI80" s="31"/>
      <c r="BJ80" s="31"/>
      <c r="BK80" s="31"/>
      <c r="BL80" s="31"/>
      <c r="BM80" s="31"/>
    </row>
    <row r="81" spans="1:65" s="31" customFormat="1" ht="19.5" thickBot="1" x14ac:dyDescent="0.35">
      <c r="A81" s="98">
        <v>32271</v>
      </c>
      <c r="B81" s="235" t="s">
        <v>58</v>
      </c>
      <c r="C81" s="125">
        <v>0</v>
      </c>
      <c r="D81" s="185">
        <v>0</v>
      </c>
      <c r="E81" s="115">
        <v>0</v>
      </c>
      <c r="F81" s="65">
        <v>0</v>
      </c>
      <c r="G81" s="123">
        <v>0</v>
      </c>
      <c r="H81" s="65">
        <v>0</v>
      </c>
      <c r="I81" s="65">
        <v>0</v>
      </c>
      <c r="J81" s="65">
        <v>0</v>
      </c>
      <c r="K81" s="65">
        <v>0</v>
      </c>
      <c r="L81" s="65">
        <v>0</v>
      </c>
      <c r="M81" s="65">
        <v>0</v>
      </c>
      <c r="N81" s="65">
        <v>0</v>
      </c>
      <c r="O81" s="65">
        <v>0</v>
      </c>
      <c r="P81" s="65">
        <v>0</v>
      </c>
      <c r="Q81" s="125">
        <v>0</v>
      </c>
      <c r="R81" s="125">
        <v>0</v>
      </c>
      <c r="S81" s="190">
        <f>5000/M20</f>
        <v>663.61404207313024</v>
      </c>
      <c r="T81" s="217">
        <f>1769.21/M20</f>
        <v>234.81451987524056</v>
      </c>
    </row>
    <row r="82" spans="1:65" s="32" customFormat="1" ht="19.5" thickBot="1" x14ac:dyDescent="0.35">
      <c r="A82" s="69">
        <v>323</v>
      </c>
      <c r="B82" s="70" t="s">
        <v>4</v>
      </c>
      <c r="C82" s="182">
        <v>105700</v>
      </c>
      <c r="D82" s="220">
        <f>D83+D89+D94+D105+D111+D114+D120+D124</f>
        <v>22100</v>
      </c>
      <c r="E82" s="237">
        <f>E83+E99+E105</f>
        <v>19800</v>
      </c>
      <c r="F82" s="238">
        <v>0</v>
      </c>
      <c r="G82" s="183">
        <f>G83+G89+G94+G99+G105+G111+G114+G120+G124</f>
        <v>45300</v>
      </c>
      <c r="H82" s="238">
        <v>0</v>
      </c>
      <c r="I82" s="111">
        <f>I83+I114+I111</f>
        <v>16500</v>
      </c>
      <c r="J82" s="238">
        <v>0</v>
      </c>
      <c r="K82" s="238">
        <v>0</v>
      </c>
      <c r="L82" s="238">
        <f>L83+L94</f>
        <v>2000</v>
      </c>
      <c r="M82" s="238">
        <v>0</v>
      </c>
      <c r="N82" s="238">
        <v>0</v>
      </c>
      <c r="O82" s="238">
        <v>0</v>
      </c>
      <c r="P82" s="238">
        <v>0</v>
      </c>
      <c r="Q82" s="182">
        <v>105700</v>
      </c>
      <c r="R82" s="182">
        <v>105700</v>
      </c>
      <c r="S82" s="182">
        <f>717500/M20</f>
        <v>95228.615037494194</v>
      </c>
      <c r="T82" s="184">
        <f>360137.26/M20</f>
        <v>47798.428561948371</v>
      </c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  <c r="AR82" s="33"/>
      <c r="AS82" s="33"/>
      <c r="AT82" s="33"/>
      <c r="AU82" s="33"/>
      <c r="AV82" s="33"/>
      <c r="AW82" s="33"/>
      <c r="AX82" s="33"/>
      <c r="AY82" s="33"/>
      <c r="AZ82" s="33"/>
      <c r="BA82" s="33"/>
      <c r="BB82" s="33"/>
      <c r="BC82" s="33"/>
      <c r="BD82" s="33"/>
      <c r="BE82" s="33"/>
      <c r="BF82" s="33"/>
      <c r="BG82" s="33"/>
      <c r="BH82" s="33"/>
      <c r="BI82" s="33"/>
      <c r="BJ82" s="33"/>
      <c r="BK82" s="33"/>
      <c r="BL82" s="33"/>
      <c r="BM82" s="33"/>
    </row>
    <row r="83" spans="1:65" s="36" customFormat="1" x14ac:dyDescent="0.3">
      <c r="A83" s="222">
        <v>3231</v>
      </c>
      <c r="B83" s="236" t="s">
        <v>37</v>
      </c>
      <c r="C83" s="224">
        <v>10400</v>
      </c>
      <c r="D83" s="225">
        <f>D84+D86+D88</f>
        <v>2500</v>
      </c>
      <c r="E83" s="233">
        <f>E88</f>
        <v>1000</v>
      </c>
      <c r="F83" s="234">
        <v>0</v>
      </c>
      <c r="G83" s="228">
        <f>G84+G86+G88</f>
        <v>4400</v>
      </c>
      <c r="H83" s="234">
        <v>0</v>
      </c>
      <c r="I83" s="233">
        <f>I88</f>
        <v>1000</v>
      </c>
      <c r="J83" s="234">
        <v>0</v>
      </c>
      <c r="K83" s="234">
        <v>0</v>
      </c>
      <c r="L83" s="234">
        <f>L88</f>
        <v>1500</v>
      </c>
      <c r="M83" s="234">
        <v>0</v>
      </c>
      <c r="N83" s="234">
        <v>0</v>
      </c>
      <c r="O83" s="234">
        <v>0</v>
      </c>
      <c r="P83" s="234">
        <v>0</v>
      </c>
      <c r="Q83" s="224">
        <v>10400</v>
      </c>
      <c r="R83" s="224">
        <v>10400</v>
      </c>
      <c r="S83" s="191">
        <f>45000/M20</f>
        <v>5972.5263786581718</v>
      </c>
      <c r="T83" s="229">
        <f>35221.67/M20</f>
        <v>4674.7189594531819</v>
      </c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</row>
    <row r="84" spans="1:65" x14ac:dyDescent="0.3">
      <c r="A84" s="96">
        <v>32311</v>
      </c>
      <c r="B84" s="39" t="s">
        <v>91</v>
      </c>
      <c r="C84" s="127">
        <v>2400</v>
      </c>
      <c r="D84" s="63">
        <v>0</v>
      </c>
      <c r="E84" s="67">
        <v>0</v>
      </c>
      <c r="F84" s="67">
        <v>0</v>
      </c>
      <c r="G84" s="121">
        <v>2400</v>
      </c>
      <c r="H84" s="67">
        <v>0</v>
      </c>
      <c r="I84" s="67">
        <v>0</v>
      </c>
      <c r="J84" s="67">
        <v>0</v>
      </c>
      <c r="K84" s="67">
        <v>0</v>
      </c>
      <c r="L84" s="67">
        <v>0</v>
      </c>
      <c r="M84" s="67">
        <v>0</v>
      </c>
      <c r="N84" s="67">
        <v>0</v>
      </c>
      <c r="O84" s="67">
        <v>0</v>
      </c>
      <c r="P84" s="67">
        <v>0</v>
      </c>
      <c r="Q84" s="127">
        <v>2400</v>
      </c>
      <c r="R84" s="127">
        <v>2400</v>
      </c>
      <c r="S84" s="128">
        <f>19000/M20</f>
        <v>2521.7333598778951</v>
      </c>
      <c r="T84" s="176">
        <f>8619.24/M20</f>
        <v>1143.9697391996813</v>
      </c>
    </row>
    <row r="85" spans="1:65" x14ac:dyDescent="0.3">
      <c r="A85" s="96">
        <v>32312</v>
      </c>
      <c r="B85" s="39" t="s">
        <v>137</v>
      </c>
      <c r="C85" s="127">
        <v>0</v>
      </c>
      <c r="D85" s="63">
        <v>0</v>
      </c>
      <c r="E85" s="67">
        <v>0</v>
      </c>
      <c r="F85" s="67">
        <v>0</v>
      </c>
      <c r="G85" s="121">
        <v>0</v>
      </c>
      <c r="H85" s="67">
        <v>0</v>
      </c>
      <c r="I85" s="67">
        <v>0</v>
      </c>
      <c r="J85" s="67">
        <v>0</v>
      </c>
      <c r="K85" s="67">
        <v>0</v>
      </c>
      <c r="L85" s="67">
        <v>0</v>
      </c>
      <c r="M85" s="67">
        <v>0</v>
      </c>
      <c r="N85" s="67">
        <v>0</v>
      </c>
      <c r="O85" s="67">
        <v>0</v>
      </c>
      <c r="P85" s="67">
        <v>0</v>
      </c>
      <c r="Q85" s="127">
        <v>0</v>
      </c>
      <c r="R85" s="127">
        <v>0</v>
      </c>
      <c r="S85" s="128">
        <v>0</v>
      </c>
      <c r="T85" s="176">
        <v>0</v>
      </c>
    </row>
    <row r="86" spans="1:65" x14ac:dyDescent="0.3">
      <c r="A86" s="96">
        <v>32313</v>
      </c>
      <c r="B86" s="39" t="s">
        <v>92</v>
      </c>
      <c r="C86" s="127">
        <v>500</v>
      </c>
      <c r="D86" s="63">
        <v>0</v>
      </c>
      <c r="E86" s="67">
        <v>0</v>
      </c>
      <c r="F86" s="67">
        <v>0</v>
      </c>
      <c r="G86" s="121">
        <v>500</v>
      </c>
      <c r="H86" s="67">
        <v>0</v>
      </c>
      <c r="I86" s="67">
        <v>0</v>
      </c>
      <c r="J86" s="67">
        <v>0</v>
      </c>
      <c r="K86" s="67">
        <v>0</v>
      </c>
      <c r="L86" s="67">
        <v>0</v>
      </c>
      <c r="M86" s="67">
        <v>0</v>
      </c>
      <c r="N86" s="67">
        <v>0</v>
      </c>
      <c r="O86" s="67">
        <v>0</v>
      </c>
      <c r="P86" s="67">
        <v>0</v>
      </c>
      <c r="Q86" s="127">
        <v>500</v>
      </c>
      <c r="R86" s="127">
        <v>500</v>
      </c>
      <c r="S86" s="128">
        <f>7000/M20</f>
        <v>929.05965890238235</v>
      </c>
      <c r="T86" s="176">
        <f>1396.43/M20</f>
        <v>185.33811135443625</v>
      </c>
    </row>
    <row r="87" spans="1:65" x14ac:dyDescent="0.3">
      <c r="A87" s="96">
        <v>32314</v>
      </c>
      <c r="B87" s="39" t="s">
        <v>136</v>
      </c>
      <c r="C87" s="127">
        <v>0</v>
      </c>
      <c r="D87" s="63">
        <v>0</v>
      </c>
      <c r="E87" s="67">
        <v>0</v>
      </c>
      <c r="F87" s="67">
        <v>0</v>
      </c>
      <c r="G87" s="121">
        <v>0</v>
      </c>
      <c r="H87" s="67">
        <v>0</v>
      </c>
      <c r="I87" s="67">
        <v>0</v>
      </c>
      <c r="J87" s="67">
        <v>0</v>
      </c>
      <c r="K87" s="67">
        <v>0</v>
      </c>
      <c r="L87" s="67">
        <v>0</v>
      </c>
      <c r="M87" s="67">
        <v>0</v>
      </c>
      <c r="N87" s="67">
        <v>0</v>
      </c>
      <c r="O87" s="67">
        <v>0</v>
      </c>
      <c r="P87" s="67">
        <v>0</v>
      </c>
      <c r="Q87" s="127">
        <v>0</v>
      </c>
      <c r="R87" s="127">
        <v>0</v>
      </c>
      <c r="S87" s="128">
        <v>0</v>
      </c>
      <c r="T87" s="176">
        <v>0</v>
      </c>
    </row>
    <row r="88" spans="1:65" x14ac:dyDescent="0.3">
      <c r="A88" s="96">
        <v>32319</v>
      </c>
      <c r="B88" s="39" t="s">
        <v>135</v>
      </c>
      <c r="C88" s="127">
        <v>7500</v>
      </c>
      <c r="D88" s="63">
        <v>2500</v>
      </c>
      <c r="E88" s="67">
        <v>1000</v>
      </c>
      <c r="F88" s="67">
        <v>0</v>
      </c>
      <c r="G88" s="121">
        <v>1500</v>
      </c>
      <c r="H88" s="67">
        <v>0</v>
      </c>
      <c r="I88" s="67">
        <v>1000</v>
      </c>
      <c r="J88" s="67">
        <v>0</v>
      </c>
      <c r="K88" s="67">
        <v>0</v>
      </c>
      <c r="L88" s="67">
        <v>1500</v>
      </c>
      <c r="M88" s="67">
        <v>0</v>
      </c>
      <c r="N88" s="67">
        <v>0</v>
      </c>
      <c r="O88" s="67">
        <v>0</v>
      </c>
      <c r="P88" s="67">
        <v>0</v>
      </c>
      <c r="Q88" s="127">
        <v>7500</v>
      </c>
      <c r="R88" s="127">
        <v>7500</v>
      </c>
      <c r="S88" s="128">
        <f>19000/M20</f>
        <v>2521.7333598778951</v>
      </c>
      <c r="T88" s="176">
        <f>25206/M20</f>
        <v>3345.4111088990639</v>
      </c>
    </row>
    <row r="89" spans="1:65" s="36" customFormat="1" x14ac:dyDescent="0.3">
      <c r="A89" s="95">
        <v>3232</v>
      </c>
      <c r="B89" s="37" t="s">
        <v>38</v>
      </c>
      <c r="C89" s="126">
        <v>10300</v>
      </c>
      <c r="D89" s="113">
        <f>D91</f>
        <v>4500</v>
      </c>
      <c r="E89" s="116">
        <f>E90</f>
        <v>0</v>
      </c>
      <c r="F89" s="64">
        <v>0</v>
      </c>
      <c r="G89" s="120">
        <f>G90+G91+G92+G93</f>
        <v>5800</v>
      </c>
      <c r="H89" s="64">
        <v>0</v>
      </c>
      <c r="I89" s="116">
        <v>0</v>
      </c>
      <c r="J89" s="64">
        <v>0</v>
      </c>
      <c r="K89" s="64">
        <v>0</v>
      </c>
      <c r="L89" s="64">
        <v>0</v>
      </c>
      <c r="M89" s="64">
        <v>0</v>
      </c>
      <c r="N89" s="64">
        <v>0</v>
      </c>
      <c r="O89" s="64">
        <v>0</v>
      </c>
      <c r="P89" s="64">
        <v>0</v>
      </c>
      <c r="Q89" s="126">
        <v>10300</v>
      </c>
      <c r="R89" s="126">
        <v>10300</v>
      </c>
      <c r="S89" s="192">
        <f>74000/M20</f>
        <v>9821.4878226823275</v>
      </c>
      <c r="T89" s="198">
        <f>26454.67/M20</f>
        <v>3511.138098082155</v>
      </c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  <c r="BF89" s="31"/>
      <c r="BG89" s="31"/>
      <c r="BH89" s="31"/>
      <c r="BI89" s="31"/>
      <c r="BJ89" s="31"/>
      <c r="BK89" s="31"/>
      <c r="BL89" s="31"/>
      <c r="BM89" s="31"/>
    </row>
    <row r="90" spans="1:65" s="31" customFormat="1" x14ac:dyDescent="0.3">
      <c r="A90" s="97">
        <v>32321</v>
      </c>
      <c r="B90" s="41" t="s">
        <v>97</v>
      </c>
      <c r="C90" s="127">
        <v>300</v>
      </c>
      <c r="D90" s="114">
        <v>0</v>
      </c>
      <c r="E90" s="117">
        <v>0</v>
      </c>
      <c r="F90" s="66">
        <v>0</v>
      </c>
      <c r="G90" s="121">
        <v>300</v>
      </c>
      <c r="H90" s="66">
        <v>0</v>
      </c>
      <c r="I90" s="117">
        <v>0</v>
      </c>
      <c r="J90" s="66">
        <v>0</v>
      </c>
      <c r="K90" s="66">
        <v>0</v>
      </c>
      <c r="L90" s="66">
        <v>0</v>
      </c>
      <c r="M90" s="66">
        <v>0</v>
      </c>
      <c r="N90" s="66">
        <v>0</v>
      </c>
      <c r="O90" s="66">
        <v>0</v>
      </c>
      <c r="P90" s="66">
        <v>0</v>
      </c>
      <c r="Q90" s="127">
        <v>300</v>
      </c>
      <c r="R90" s="127">
        <v>300</v>
      </c>
      <c r="S90" s="128">
        <f>10000/M20</f>
        <v>1327.2280841462605</v>
      </c>
      <c r="T90" s="176">
        <v>0</v>
      </c>
    </row>
    <row r="91" spans="1:65" s="31" customFormat="1" x14ac:dyDescent="0.3">
      <c r="A91" s="97">
        <v>32322</v>
      </c>
      <c r="B91" s="41" t="s">
        <v>98</v>
      </c>
      <c r="C91" s="127">
        <v>8500</v>
      </c>
      <c r="D91" s="114">
        <v>4500</v>
      </c>
      <c r="E91" s="117">
        <v>0</v>
      </c>
      <c r="F91" s="66">
        <v>0</v>
      </c>
      <c r="G91" s="121">
        <v>4000</v>
      </c>
      <c r="H91" s="66">
        <v>0</v>
      </c>
      <c r="I91" s="117">
        <v>0</v>
      </c>
      <c r="J91" s="66">
        <v>0</v>
      </c>
      <c r="K91" s="66">
        <v>0</v>
      </c>
      <c r="L91" s="66">
        <v>0</v>
      </c>
      <c r="M91" s="66">
        <v>0</v>
      </c>
      <c r="N91" s="66">
        <v>0</v>
      </c>
      <c r="O91" s="66">
        <v>0</v>
      </c>
      <c r="P91" s="66">
        <v>0</v>
      </c>
      <c r="Q91" s="127">
        <v>8500</v>
      </c>
      <c r="R91" s="127">
        <v>8500</v>
      </c>
      <c r="S91" s="128">
        <f>44000/M20</f>
        <v>5839.8035702435463</v>
      </c>
      <c r="T91" s="176">
        <f>18622.74/M20</f>
        <v>2471.6623531753935</v>
      </c>
    </row>
    <row r="92" spans="1:65" s="31" customFormat="1" x14ac:dyDescent="0.3">
      <c r="A92" s="97">
        <v>32323</v>
      </c>
      <c r="B92" s="41" t="s">
        <v>99</v>
      </c>
      <c r="C92" s="127">
        <v>500</v>
      </c>
      <c r="D92" s="66">
        <v>0</v>
      </c>
      <c r="E92" s="117">
        <v>0</v>
      </c>
      <c r="F92" s="66">
        <v>0</v>
      </c>
      <c r="G92" s="121">
        <v>500</v>
      </c>
      <c r="H92" s="66">
        <v>0</v>
      </c>
      <c r="I92" s="117">
        <v>0</v>
      </c>
      <c r="J92" s="66">
        <v>0</v>
      </c>
      <c r="K92" s="66">
        <v>0</v>
      </c>
      <c r="L92" s="66">
        <v>0</v>
      </c>
      <c r="M92" s="66">
        <v>0</v>
      </c>
      <c r="N92" s="66">
        <v>0</v>
      </c>
      <c r="O92" s="66">
        <v>0</v>
      </c>
      <c r="P92" s="66">
        <v>0</v>
      </c>
      <c r="Q92" s="127">
        <v>500</v>
      </c>
      <c r="R92" s="127">
        <v>500</v>
      </c>
      <c r="S92" s="128">
        <f>7000/M20</f>
        <v>929.05965890238235</v>
      </c>
      <c r="T92" s="176">
        <f>3431.93/M20</f>
        <v>455.49538788240756</v>
      </c>
    </row>
    <row r="93" spans="1:65" s="31" customFormat="1" x14ac:dyDescent="0.3">
      <c r="A93" s="97">
        <v>32329</v>
      </c>
      <c r="B93" s="41" t="s">
        <v>140</v>
      </c>
      <c r="C93" s="127">
        <v>1000</v>
      </c>
      <c r="D93" s="66">
        <v>0</v>
      </c>
      <c r="E93" s="117">
        <v>0</v>
      </c>
      <c r="F93" s="66">
        <v>0</v>
      </c>
      <c r="G93" s="121">
        <v>1000</v>
      </c>
      <c r="H93" s="66">
        <v>0</v>
      </c>
      <c r="I93" s="117">
        <v>0</v>
      </c>
      <c r="J93" s="66">
        <v>0</v>
      </c>
      <c r="K93" s="66">
        <v>0</v>
      </c>
      <c r="L93" s="66">
        <v>0</v>
      </c>
      <c r="M93" s="66">
        <v>0</v>
      </c>
      <c r="N93" s="66">
        <v>0</v>
      </c>
      <c r="O93" s="66">
        <v>0</v>
      </c>
      <c r="P93" s="66">
        <v>0</v>
      </c>
      <c r="Q93" s="127">
        <v>1000</v>
      </c>
      <c r="R93" s="127">
        <v>1000</v>
      </c>
      <c r="S93" s="128">
        <f>13000/M20</f>
        <v>1725.3965093901386</v>
      </c>
      <c r="T93" s="176">
        <f>4400/M20</f>
        <v>583.98035702435459</v>
      </c>
    </row>
    <row r="94" spans="1:65" s="36" customFormat="1" x14ac:dyDescent="0.3">
      <c r="A94" s="95">
        <v>3233</v>
      </c>
      <c r="B94" s="37" t="s">
        <v>39</v>
      </c>
      <c r="C94" s="126">
        <v>5200</v>
      </c>
      <c r="D94" s="64">
        <f>D95+D97+D98</f>
        <v>0</v>
      </c>
      <c r="E94" s="116">
        <v>0</v>
      </c>
      <c r="F94" s="64">
        <v>0</v>
      </c>
      <c r="G94" s="120">
        <f>G95+G97+G96+G98</f>
        <v>4700</v>
      </c>
      <c r="H94" s="64">
        <v>0</v>
      </c>
      <c r="I94" s="116">
        <v>0</v>
      </c>
      <c r="J94" s="64">
        <v>0</v>
      </c>
      <c r="K94" s="64">
        <v>0</v>
      </c>
      <c r="L94" s="64">
        <f>L97</f>
        <v>500</v>
      </c>
      <c r="M94" s="64">
        <v>0</v>
      </c>
      <c r="N94" s="64">
        <v>0</v>
      </c>
      <c r="O94" s="64">
        <v>0</v>
      </c>
      <c r="P94" s="64">
        <v>0</v>
      </c>
      <c r="Q94" s="126">
        <v>5200</v>
      </c>
      <c r="R94" s="126">
        <v>5200</v>
      </c>
      <c r="S94" s="192">
        <f>59000/M20</f>
        <v>7830.6456964629369</v>
      </c>
      <c r="T94" s="198">
        <f>28650/M20</f>
        <v>3802.5084610790364</v>
      </c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31"/>
      <c r="BM94" s="31"/>
    </row>
    <row r="95" spans="1:65" s="31" customFormat="1" x14ac:dyDescent="0.3">
      <c r="A95" s="97">
        <v>32331</v>
      </c>
      <c r="B95" s="41" t="s">
        <v>151</v>
      </c>
      <c r="C95" s="127">
        <v>1500</v>
      </c>
      <c r="D95" s="66">
        <v>0</v>
      </c>
      <c r="E95" s="117">
        <v>0</v>
      </c>
      <c r="F95" s="66">
        <v>0</v>
      </c>
      <c r="G95" s="122">
        <v>1500</v>
      </c>
      <c r="H95" s="66">
        <v>0</v>
      </c>
      <c r="I95" s="117">
        <v>0</v>
      </c>
      <c r="J95" s="66">
        <v>0</v>
      </c>
      <c r="K95" s="66">
        <v>0</v>
      </c>
      <c r="L95" s="66">
        <v>0</v>
      </c>
      <c r="M95" s="66">
        <v>0</v>
      </c>
      <c r="N95" s="66">
        <v>0</v>
      </c>
      <c r="O95" s="66">
        <v>0</v>
      </c>
      <c r="P95" s="66">
        <v>0</v>
      </c>
      <c r="Q95" s="127">
        <v>1500</v>
      </c>
      <c r="R95" s="127">
        <v>1500</v>
      </c>
      <c r="S95" s="128">
        <f>18000/M20</f>
        <v>2389.0105514632687</v>
      </c>
      <c r="T95" s="176">
        <f>11375/M20</f>
        <v>1509.7219457163712</v>
      </c>
    </row>
    <row r="96" spans="1:65" x14ac:dyDescent="0.3">
      <c r="A96" s="96">
        <v>32332</v>
      </c>
      <c r="B96" s="39" t="s">
        <v>95</v>
      </c>
      <c r="C96" s="127">
        <v>200</v>
      </c>
      <c r="D96" s="67">
        <v>0</v>
      </c>
      <c r="E96" s="67">
        <v>0</v>
      </c>
      <c r="F96" s="67">
        <v>0</v>
      </c>
      <c r="G96" s="121">
        <v>200</v>
      </c>
      <c r="H96" s="67">
        <v>0</v>
      </c>
      <c r="I96" s="67">
        <v>0</v>
      </c>
      <c r="J96" s="67">
        <v>0</v>
      </c>
      <c r="K96" s="67">
        <v>0</v>
      </c>
      <c r="L96" s="67">
        <v>0</v>
      </c>
      <c r="M96" s="67">
        <v>0</v>
      </c>
      <c r="N96" s="67">
        <v>0</v>
      </c>
      <c r="O96" s="67">
        <v>0</v>
      </c>
      <c r="P96" s="67">
        <v>0</v>
      </c>
      <c r="Q96" s="127">
        <v>200</v>
      </c>
      <c r="R96" s="127">
        <v>200</v>
      </c>
      <c r="S96" s="128">
        <f>5000/M20</f>
        <v>663.61404207313024</v>
      </c>
      <c r="T96" s="176">
        <f>390/M20</f>
        <v>51.761895281704156</v>
      </c>
    </row>
    <row r="97" spans="1:65" x14ac:dyDescent="0.3">
      <c r="A97" s="96">
        <v>32334</v>
      </c>
      <c r="B97" s="39" t="s">
        <v>152</v>
      </c>
      <c r="C97" s="127">
        <v>2000</v>
      </c>
      <c r="D97" s="67">
        <v>0</v>
      </c>
      <c r="E97" s="67">
        <v>0</v>
      </c>
      <c r="F97" s="67">
        <v>0</v>
      </c>
      <c r="G97" s="121">
        <v>1500</v>
      </c>
      <c r="H97" s="67">
        <v>0</v>
      </c>
      <c r="I97" s="67">
        <v>0</v>
      </c>
      <c r="J97" s="67">
        <v>0</v>
      </c>
      <c r="K97" s="67">
        <v>0</v>
      </c>
      <c r="L97" s="67">
        <v>500</v>
      </c>
      <c r="M97" s="67">
        <v>0</v>
      </c>
      <c r="N97" s="67">
        <v>0</v>
      </c>
      <c r="O97" s="67">
        <v>0</v>
      </c>
      <c r="P97" s="67">
        <v>0</v>
      </c>
      <c r="Q97" s="127">
        <v>2000</v>
      </c>
      <c r="R97" s="127">
        <v>2000</v>
      </c>
      <c r="S97" s="128">
        <f>16000/M20</f>
        <v>2123.5649346340169</v>
      </c>
      <c r="T97" s="176">
        <f>6325/M20</f>
        <v>839.47176322250971</v>
      </c>
    </row>
    <row r="98" spans="1:65" x14ac:dyDescent="0.3">
      <c r="A98" s="96">
        <v>32339</v>
      </c>
      <c r="B98" s="39" t="s">
        <v>96</v>
      </c>
      <c r="C98" s="127">
        <v>1500</v>
      </c>
      <c r="D98" s="67">
        <v>0</v>
      </c>
      <c r="E98" s="67">
        <v>0</v>
      </c>
      <c r="F98" s="67">
        <v>0</v>
      </c>
      <c r="G98" s="121">
        <v>1500</v>
      </c>
      <c r="H98" s="67">
        <v>0</v>
      </c>
      <c r="I98" s="67">
        <v>0</v>
      </c>
      <c r="J98" s="67">
        <v>0</v>
      </c>
      <c r="K98" s="67">
        <v>0</v>
      </c>
      <c r="L98" s="67">
        <v>0</v>
      </c>
      <c r="M98" s="67">
        <v>0</v>
      </c>
      <c r="N98" s="67">
        <v>0</v>
      </c>
      <c r="O98" s="67">
        <v>0</v>
      </c>
      <c r="P98" s="67">
        <v>0</v>
      </c>
      <c r="Q98" s="127">
        <v>1500</v>
      </c>
      <c r="R98" s="127">
        <v>1500</v>
      </c>
      <c r="S98" s="128">
        <f>20000/M20</f>
        <v>2654.4561682925209</v>
      </c>
      <c r="T98" s="176">
        <f>10560/M20</f>
        <v>1401.5528568584512</v>
      </c>
    </row>
    <row r="99" spans="1:65" s="36" customFormat="1" x14ac:dyDescent="0.3">
      <c r="A99" s="95">
        <v>3234</v>
      </c>
      <c r="B99" s="37" t="s">
        <v>40</v>
      </c>
      <c r="C99" s="126">
        <v>8800</v>
      </c>
      <c r="D99" s="64">
        <v>0</v>
      </c>
      <c r="E99" s="116">
        <f>E100+E104</f>
        <v>8000</v>
      </c>
      <c r="F99" s="64">
        <v>0</v>
      </c>
      <c r="G99" s="120">
        <f>G101+G102</f>
        <v>800</v>
      </c>
      <c r="H99" s="64">
        <v>0</v>
      </c>
      <c r="I99" s="116">
        <v>0</v>
      </c>
      <c r="J99" s="64">
        <v>0</v>
      </c>
      <c r="K99" s="64">
        <v>0</v>
      </c>
      <c r="L99" s="64">
        <v>0</v>
      </c>
      <c r="M99" s="64">
        <v>0</v>
      </c>
      <c r="N99" s="64">
        <v>0</v>
      </c>
      <c r="O99" s="64">
        <v>0</v>
      </c>
      <c r="P99" s="64">
        <v>0</v>
      </c>
      <c r="Q99" s="126">
        <v>8800</v>
      </c>
      <c r="R99" s="126">
        <v>8800</v>
      </c>
      <c r="S99" s="192">
        <f>65500/M20</f>
        <v>8693.3439511580054</v>
      </c>
      <c r="T99" s="198">
        <f>32595.05/M20</f>
        <v>4326.1065764151563</v>
      </c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  <c r="BF99" s="31"/>
      <c r="BG99" s="31"/>
      <c r="BH99" s="31"/>
      <c r="BI99" s="31"/>
      <c r="BJ99" s="31"/>
      <c r="BK99" s="31"/>
      <c r="BL99" s="31"/>
      <c r="BM99" s="31"/>
    </row>
    <row r="100" spans="1:65" s="31" customFormat="1" x14ac:dyDescent="0.3">
      <c r="A100" s="97">
        <v>32341</v>
      </c>
      <c r="B100" s="41" t="s">
        <v>100</v>
      </c>
      <c r="C100" s="127">
        <v>1500</v>
      </c>
      <c r="D100" s="66">
        <v>0</v>
      </c>
      <c r="E100" s="117">
        <v>1500</v>
      </c>
      <c r="F100" s="66">
        <v>0</v>
      </c>
      <c r="G100" s="121">
        <v>0</v>
      </c>
      <c r="H100" s="66">
        <v>0</v>
      </c>
      <c r="I100" s="117">
        <v>0</v>
      </c>
      <c r="J100" s="66">
        <v>0</v>
      </c>
      <c r="K100" s="66">
        <v>0</v>
      </c>
      <c r="L100" s="66">
        <v>0</v>
      </c>
      <c r="M100" s="66">
        <v>0</v>
      </c>
      <c r="N100" s="66">
        <v>0</v>
      </c>
      <c r="O100" s="66">
        <v>0</v>
      </c>
      <c r="P100" s="66">
        <v>0</v>
      </c>
      <c r="Q100" s="127">
        <v>1500</v>
      </c>
      <c r="R100" s="127">
        <v>1500</v>
      </c>
      <c r="S100" s="128">
        <f>12000/M20</f>
        <v>1592.6737009755125</v>
      </c>
      <c r="T100" s="176">
        <f>5174.38/M20</f>
        <v>686.75824540447275</v>
      </c>
    </row>
    <row r="101" spans="1:65" s="31" customFormat="1" x14ac:dyDescent="0.3">
      <c r="A101" s="97">
        <v>32342</v>
      </c>
      <c r="B101" s="41" t="s">
        <v>101</v>
      </c>
      <c r="C101" s="127">
        <v>700</v>
      </c>
      <c r="D101" s="66">
        <v>0</v>
      </c>
      <c r="E101" s="117">
        <v>0</v>
      </c>
      <c r="F101" s="66">
        <v>0</v>
      </c>
      <c r="G101" s="121">
        <v>700</v>
      </c>
      <c r="H101" s="66">
        <v>0</v>
      </c>
      <c r="I101" s="117">
        <v>0</v>
      </c>
      <c r="J101" s="66">
        <v>0</v>
      </c>
      <c r="K101" s="66">
        <v>0</v>
      </c>
      <c r="L101" s="66">
        <v>0</v>
      </c>
      <c r="M101" s="66">
        <v>0</v>
      </c>
      <c r="N101" s="66">
        <v>0</v>
      </c>
      <c r="O101" s="66">
        <v>0</v>
      </c>
      <c r="P101" s="66">
        <v>0</v>
      </c>
      <c r="Q101" s="127">
        <v>700</v>
      </c>
      <c r="R101" s="127">
        <v>700</v>
      </c>
      <c r="S101" s="128">
        <f>2500/M20</f>
        <v>331.80702103656512</v>
      </c>
      <c r="T101" s="176">
        <f>1057.91/M20</f>
        <v>140.40878624991706</v>
      </c>
    </row>
    <row r="102" spans="1:65" s="31" customFormat="1" x14ac:dyDescent="0.3">
      <c r="A102" s="97">
        <v>32343</v>
      </c>
      <c r="B102" s="41" t="s">
        <v>102</v>
      </c>
      <c r="C102" s="127">
        <v>100</v>
      </c>
      <c r="D102" s="66">
        <v>0</v>
      </c>
      <c r="E102" s="117">
        <v>0</v>
      </c>
      <c r="F102" s="66">
        <v>0</v>
      </c>
      <c r="G102" s="121">
        <v>100</v>
      </c>
      <c r="H102" s="66">
        <v>0</v>
      </c>
      <c r="I102" s="117">
        <v>0</v>
      </c>
      <c r="J102" s="66">
        <v>0</v>
      </c>
      <c r="K102" s="66">
        <v>0</v>
      </c>
      <c r="L102" s="66">
        <v>0</v>
      </c>
      <c r="M102" s="66">
        <v>0</v>
      </c>
      <c r="N102" s="66">
        <v>0</v>
      </c>
      <c r="O102" s="66">
        <v>0</v>
      </c>
      <c r="P102" s="66">
        <v>0</v>
      </c>
      <c r="Q102" s="127">
        <v>100</v>
      </c>
      <c r="R102" s="127">
        <v>100</v>
      </c>
      <c r="S102" s="128">
        <v>0</v>
      </c>
      <c r="T102" s="176">
        <v>0</v>
      </c>
    </row>
    <row r="103" spans="1:65" s="31" customFormat="1" x14ac:dyDescent="0.3">
      <c r="A103" s="97">
        <v>32344</v>
      </c>
      <c r="B103" s="41" t="s">
        <v>103</v>
      </c>
      <c r="C103" s="127">
        <v>0</v>
      </c>
      <c r="D103" s="66">
        <v>0</v>
      </c>
      <c r="E103" s="117">
        <v>0</v>
      </c>
      <c r="F103" s="66">
        <v>0</v>
      </c>
      <c r="G103" s="121">
        <v>0</v>
      </c>
      <c r="H103" s="66">
        <v>0</v>
      </c>
      <c r="I103" s="117">
        <v>0</v>
      </c>
      <c r="J103" s="66">
        <v>0</v>
      </c>
      <c r="K103" s="66">
        <v>0</v>
      </c>
      <c r="L103" s="66">
        <v>0</v>
      </c>
      <c r="M103" s="66">
        <v>0</v>
      </c>
      <c r="N103" s="66">
        <v>0</v>
      </c>
      <c r="O103" s="66">
        <v>0</v>
      </c>
      <c r="P103" s="66">
        <v>0</v>
      </c>
      <c r="Q103" s="127">
        <v>0</v>
      </c>
      <c r="R103" s="127">
        <v>0</v>
      </c>
      <c r="S103" s="128">
        <f>1000/M20</f>
        <v>132.72280841462606</v>
      </c>
      <c r="T103" s="176">
        <v>0</v>
      </c>
    </row>
    <row r="104" spans="1:65" s="31" customFormat="1" x14ac:dyDescent="0.3">
      <c r="A104" s="97">
        <v>32349</v>
      </c>
      <c r="B104" s="41" t="s">
        <v>104</v>
      </c>
      <c r="C104" s="127">
        <v>6500</v>
      </c>
      <c r="D104" s="66">
        <v>0</v>
      </c>
      <c r="E104" s="117">
        <v>6500</v>
      </c>
      <c r="F104" s="66">
        <v>0</v>
      </c>
      <c r="G104" s="121">
        <v>0</v>
      </c>
      <c r="H104" s="66">
        <v>0</v>
      </c>
      <c r="I104" s="117">
        <v>0</v>
      </c>
      <c r="J104" s="66">
        <v>0</v>
      </c>
      <c r="K104" s="66">
        <v>0</v>
      </c>
      <c r="L104" s="66">
        <v>0</v>
      </c>
      <c r="M104" s="66">
        <v>0</v>
      </c>
      <c r="N104" s="66">
        <v>0</v>
      </c>
      <c r="O104" s="66">
        <v>0</v>
      </c>
      <c r="P104" s="66">
        <v>0</v>
      </c>
      <c r="Q104" s="127">
        <v>6500</v>
      </c>
      <c r="R104" s="127">
        <v>6500</v>
      </c>
      <c r="S104" s="128">
        <f>50000/M20</f>
        <v>6636.1404207313026</v>
      </c>
      <c r="T104" s="176">
        <f>26362.76/M20</f>
        <v>3498.9395447607667</v>
      </c>
    </row>
    <row r="105" spans="1:65" s="36" customFormat="1" x14ac:dyDescent="0.3">
      <c r="A105" s="95">
        <v>3235</v>
      </c>
      <c r="B105" s="37" t="s">
        <v>61</v>
      </c>
      <c r="C105" s="126">
        <v>21100</v>
      </c>
      <c r="D105" s="64">
        <f>D106+D107</f>
        <v>0</v>
      </c>
      <c r="E105" s="116">
        <f>E106+E107</f>
        <v>10800</v>
      </c>
      <c r="F105" s="64">
        <v>0</v>
      </c>
      <c r="G105" s="120">
        <f>G106+G107+G108+G109+G110</f>
        <v>10300</v>
      </c>
      <c r="H105" s="64">
        <v>0</v>
      </c>
      <c r="I105" s="116">
        <v>0</v>
      </c>
      <c r="J105" s="64">
        <v>0</v>
      </c>
      <c r="K105" s="64">
        <v>0</v>
      </c>
      <c r="L105" s="64">
        <v>0</v>
      </c>
      <c r="M105" s="64">
        <v>0</v>
      </c>
      <c r="N105" s="64">
        <v>0</v>
      </c>
      <c r="O105" s="64">
        <v>0</v>
      </c>
      <c r="P105" s="64">
        <v>0</v>
      </c>
      <c r="Q105" s="126">
        <v>21100</v>
      </c>
      <c r="R105" s="126">
        <v>21100</v>
      </c>
      <c r="S105" s="192">
        <f>108000/M20</f>
        <v>14334.063308779612</v>
      </c>
      <c r="T105" s="198">
        <f>78246.26/M20</f>
        <v>10385.063375141017</v>
      </c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  <c r="BF105" s="31"/>
      <c r="BG105" s="31"/>
      <c r="BH105" s="31"/>
      <c r="BI105" s="31"/>
      <c r="BJ105" s="31"/>
      <c r="BK105" s="31"/>
      <c r="BL105" s="31"/>
      <c r="BM105" s="31"/>
    </row>
    <row r="106" spans="1:65" x14ac:dyDescent="0.3">
      <c r="A106" s="96">
        <v>32352</v>
      </c>
      <c r="B106" s="39" t="s">
        <v>105</v>
      </c>
      <c r="C106" s="127">
        <v>12500</v>
      </c>
      <c r="D106" s="67">
        <v>0</v>
      </c>
      <c r="E106" s="67">
        <v>10000</v>
      </c>
      <c r="F106" s="67">
        <v>0</v>
      </c>
      <c r="G106" s="121">
        <v>2500</v>
      </c>
      <c r="H106" s="67">
        <v>0</v>
      </c>
      <c r="I106" s="67">
        <v>0</v>
      </c>
      <c r="J106" s="67">
        <v>0</v>
      </c>
      <c r="K106" s="67">
        <v>0</v>
      </c>
      <c r="L106" s="67">
        <v>0</v>
      </c>
      <c r="M106" s="67">
        <v>0</v>
      </c>
      <c r="N106" s="67">
        <v>0</v>
      </c>
      <c r="O106" s="67">
        <v>0</v>
      </c>
      <c r="P106" s="67">
        <v>0</v>
      </c>
      <c r="Q106" s="127">
        <v>12500</v>
      </c>
      <c r="R106" s="127">
        <v>12500</v>
      </c>
      <c r="S106" s="128">
        <f>45000/M20</f>
        <v>5972.5263786581718</v>
      </c>
      <c r="T106" s="176">
        <f>40000/M20</f>
        <v>5308.9123365850419</v>
      </c>
    </row>
    <row r="107" spans="1:65" x14ac:dyDescent="0.3">
      <c r="A107" s="96">
        <v>32353</v>
      </c>
      <c r="B107" s="39" t="s">
        <v>106</v>
      </c>
      <c r="C107" s="127">
        <v>3300</v>
      </c>
      <c r="D107" s="67">
        <v>0</v>
      </c>
      <c r="E107" s="67">
        <v>800</v>
      </c>
      <c r="F107" s="67">
        <v>0</v>
      </c>
      <c r="G107" s="121">
        <v>2500</v>
      </c>
      <c r="H107" s="67">
        <v>0</v>
      </c>
      <c r="I107" s="67">
        <v>0</v>
      </c>
      <c r="J107" s="67">
        <v>0</v>
      </c>
      <c r="K107" s="67">
        <v>0</v>
      </c>
      <c r="L107" s="67">
        <v>0</v>
      </c>
      <c r="M107" s="67">
        <v>0</v>
      </c>
      <c r="N107" s="67">
        <v>0</v>
      </c>
      <c r="O107" s="67">
        <v>0</v>
      </c>
      <c r="P107" s="67">
        <v>0</v>
      </c>
      <c r="Q107" s="127">
        <v>3300</v>
      </c>
      <c r="R107" s="127">
        <v>3300</v>
      </c>
      <c r="S107" s="128">
        <f>16000/M20</f>
        <v>2123.5649346340169</v>
      </c>
      <c r="T107" s="176">
        <f>18750/M20</f>
        <v>2488.5526577742385</v>
      </c>
    </row>
    <row r="108" spans="1:65" x14ac:dyDescent="0.3">
      <c r="A108" s="96">
        <v>32354</v>
      </c>
      <c r="B108" s="39" t="s">
        <v>158</v>
      </c>
      <c r="C108" s="127">
        <v>700</v>
      </c>
      <c r="D108" s="67">
        <v>0</v>
      </c>
      <c r="E108" s="67">
        <v>0</v>
      </c>
      <c r="F108" s="67">
        <v>0</v>
      </c>
      <c r="G108" s="121">
        <v>700</v>
      </c>
      <c r="H108" s="67">
        <v>0</v>
      </c>
      <c r="I108" s="67">
        <v>0</v>
      </c>
      <c r="J108" s="67">
        <v>0</v>
      </c>
      <c r="K108" s="67">
        <v>0</v>
      </c>
      <c r="L108" s="67">
        <v>0</v>
      </c>
      <c r="M108" s="67">
        <v>0</v>
      </c>
      <c r="N108" s="67">
        <v>0</v>
      </c>
      <c r="O108" s="67">
        <v>0</v>
      </c>
      <c r="P108" s="67">
        <v>0</v>
      </c>
      <c r="Q108" s="127">
        <v>700</v>
      </c>
      <c r="R108" s="127">
        <v>700</v>
      </c>
      <c r="S108" s="128">
        <f>5000/M20</f>
        <v>663.61404207313024</v>
      </c>
      <c r="T108" s="176">
        <v>0</v>
      </c>
    </row>
    <row r="109" spans="1:65" ht="36.75" x14ac:dyDescent="0.3">
      <c r="A109" s="96">
        <v>32355</v>
      </c>
      <c r="B109" s="40" t="s">
        <v>138</v>
      </c>
      <c r="C109" s="127">
        <v>4000</v>
      </c>
      <c r="D109" s="67">
        <v>0</v>
      </c>
      <c r="E109" s="67">
        <v>0</v>
      </c>
      <c r="F109" s="67">
        <v>0</v>
      </c>
      <c r="G109" s="121">
        <v>4000</v>
      </c>
      <c r="H109" s="67">
        <v>0</v>
      </c>
      <c r="I109" s="67">
        <v>0</v>
      </c>
      <c r="J109" s="67">
        <v>0</v>
      </c>
      <c r="K109" s="67">
        <v>0</v>
      </c>
      <c r="L109" s="67">
        <v>0</v>
      </c>
      <c r="M109" s="67">
        <v>0</v>
      </c>
      <c r="N109" s="67">
        <v>0</v>
      </c>
      <c r="O109" s="67">
        <v>0</v>
      </c>
      <c r="P109" s="67">
        <v>0</v>
      </c>
      <c r="Q109" s="127">
        <v>4000</v>
      </c>
      <c r="R109" s="127">
        <v>4000</v>
      </c>
      <c r="S109" s="128">
        <f>32000/M20</f>
        <v>4247.1298692680339</v>
      </c>
      <c r="T109" s="176">
        <f>15496.26/M20</f>
        <v>2056.707147123233</v>
      </c>
    </row>
    <row r="110" spans="1:65" x14ac:dyDescent="0.3">
      <c r="A110" s="96">
        <v>32359</v>
      </c>
      <c r="B110" s="39" t="s">
        <v>134</v>
      </c>
      <c r="C110" s="127">
        <v>600</v>
      </c>
      <c r="D110" s="67">
        <v>0</v>
      </c>
      <c r="E110" s="67">
        <v>0</v>
      </c>
      <c r="F110" s="67">
        <v>0</v>
      </c>
      <c r="G110" s="121">
        <v>600</v>
      </c>
      <c r="H110" s="67">
        <v>0</v>
      </c>
      <c r="I110" s="67">
        <v>0</v>
      </c>
      <c r="J110" s="67">
        <v>0</v>
      </c>
      <c r="K110" s="67">
        <v>0</v>
      </c>
      <c r="L110" s="67">
        <v>0</v>
      </c>
      <c r="M110" s="67">
        <v>0</v>
      </c>
      <c r="N110" s="67">
        <v>0</v>
      </c>
      <c r="O110" s="67">
        <v>0</v>
      </c>
      <c r="P110" s="67">
        <v>0</v>
      </c>
      <c r="Q110" s="127">
        <v>600</v>
      </c>
      <c r="R110" s="127">
        <v>600</v>
      </c>
      <c r="S110" s="128">
        <f>10000/M20</f>
        <v>1327.2280841462605</v>
      </c>
      <c r="T110" s="176">
        <f>4000/M20</f>
        <v>530.89123365850423</v>
      </c>
    </row>
    <row r="111" spans="1:65" s="36" customFormat="1" x14ac:dyDescent="0.3">
      <c r="A111" s="95">
        <v>3236</v>
      </c>
      <c r="B111" s="37" t="s">
        <v>41</v>
      </c>
      <c r="C111" s="126">
        <v>9500</v>
      </c>
      <c r="D111" s="64">
        <f>D112</f>
        <v>4100</v>
      </c>
      <c r="E111" s="116">
        <v>0</v>
      </c>
      <c r="F111" s="64">
        <v>0</v>
      </c>
      <c r="G111" s="120">
        <f>G112</f>
        <v>3900</v>
      </c>
      <c r="H111" s="64">
        <v>0</v>
      </c>
      <c r="I111" s="116">
        <v>1500</v>
      </c>
      <c r="J111" s="64">
        <v>0</v>
      </c>
      <c r="K111" s="64">
        <v>0</v>
      </c>
      <c r="L111" s="64">
        <v>0</v>
      </c>
      <c r="M111" s="64">
        <v>0</v>
      </c>
      <c r="N111" s="64">
        <v>0</v>
      </c>
      <c r="O111" s="64">
        <v>0</v>
      </c>
      <c r="P111" s="64">
        <v>0</v>
      </c>
      <c r="Q111" s="126">
        <v>9500</v>
      </c>
      <c r="R111" s="126">
        <v>9500</v>
      </c>
      <c r="S111" s="192">
        <f>15000/M20</f>
        <v>1990.8421262193906</v>
      </c>
      <c r="T111" s="198">
        <f>15755/M20</f>
        <v>2091.0478465724332</v>
      </c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  <c r="AV111" s="31"/>
      <c r="AW111" s="31"/>
      <c r="AX111" s="31"/>
      <c r="AY111" s="31"/>
      <c r="AZ111" s="31"/>
      <c r="BA111" s="31"/>
      <c r="BB111" s="31"/>
      <c r="BC111" s="31"/>
      <c r="BD111" s="31"/>
      <c r="BE111" s="31"/>
      <c r="BF111" s="31"/>
      <c r="BG111" s="31"/>
      <c r="BH111" s="31"/>
      <c r="BI111" s="31"/>
      <c r="BJ111" s="31"/>
      <c r="BK111" s="31"/>
      <c r="BL111" s="31"/>
      <c r="BM111" s="31"/>
    </row>
    <row r="112" spans="1:65" x14ac:dyDescent="0.3">
      <c r="A112" s="96">
        <v>32361</v>
      </c>
      <c r="B112" s="39" t="s">
        <v>107</v>
      </c>
      <c r="C112" s="127">
        <v>8000</v>
      </c>
      <c r="D112" s="67">
        <v>4100</v>
      </c>
      <c r="E112" s="67">
        <v>0</v>
      </c>
      <c r="F112" s="67">
        <v>0</v>
      </c>
      <c r="G112" s="121">
        <v>3900</v>
      </c>
      <c r="H112" s="67">
        <v>0</v>
      </c>
      <c r="I112" s="67">
        <v>0</v>
      </c>
      <c r="J112" s="67">
        <v>0</v>
      </c>
      <c r="K112" s="67">
        <v>0</v>
      </c>
      <c r="L112" s="67">
        <v>0</v>
      </c>
      <c r="M112" s="67">
        <v>0</v>
      </c>
      <c r="N112" s="67">
        <v>0</v>
      </c>
      <c r="O112" s="67">
        <v>0</v>
      </c>
      <c r="P112" s="67">
        <v>0</v>
      </c>
      <c r="Q112" s="127">
        <v>8000</v>
      </c>
      <c r="R112" s="127">
        <v>8000</v>
      </c>
      <c r="S112" s="128">
        <f>15000/M20</f>
        <v>1990.8421262193906</v>
      </c>
      <c r="T112" s="176">
        <f>5835/M20</f>
        <v>774.43758709934298</v>
      </c>
    </row>
    <row r="113" spans="1:65" x14ac:dyDescent="0.3">
      <c r="A113" s="194">
        <v>32363</v>
      </c>
      <c r="B113" s="195" t="s">
        <v>209</v>
      </c>
      <c r="C113" s="127">
        <v>1500</v>
      </c>
      <c r="D113" s="67">
        <v>0</v>
      </c>
      <c r="E113" s="67">
        <v>0</v>
      </c>
      <c r="F113" s="67">
        <v>0</v>
      </c>
      <c r="G113" s="121">
        <v>0</v>
      </c>
      <c r="H113" s="67">
        <v>0</v>
      </c>
      <c r="I113" s="67">
        <v>1500</v>
      </c>
      <c r="J113" s="67">
        <v>0</v>
      </c>
      <c r="K113" s="67">
        <v>0</v>
      </c>
      <c r="L113" s="67">
        <v>0</v>
      </c>
      <c r="M113" s="67">
        <v>0</v>
      </c>
      <c r="N113" s="67">
        <v>0</v>
      </c>
      <c r="O113" s="67">
        <v>0</v>
      </c>
      <c r="P113" s="67">
        <v>0</v>
      </c>
      <c r="Q113" s="127">
        <v>1500</v>
      </c>
      <c r="R113" s="127">
        <v>1500</v>
      </c>
      <c r="S113" s="128">
        <v>0</v>
      </c>
      <c r="T113" s="176">
        <f>9920/M20</f>
        <v>1316.6102594730903</v>
      </c>
    </row>
    <row r="114" spans="1:65" s="36" customFormat="1" x14ac:dyDescent="0.3">
      <c r="A114" s="95">
        <v>3237</v>
      </c>
      <c r="B114" s="37" t="s">
        <v>42</v>
      </c>
      <c r="C114" s="126">
        <v>31200</v>
      </c>
      <c r="D114" s="64">
        <f>D115+D116</f>
        <v>7000</v>
      </c>
      <c r="E114" s="116">
        <v>0</v>
      </c>
      <c r="F114" s="64">
        <v>0</v>
      </c>
      <c r="G114" s="120">
        <f>G115+G116+G117+G119</f>
        <v>10200</v>
      </c>
      <c r="H114" s="64">
        <v>0</v>
      </c>
      <c r="I114" s="118">
        <f>I116</f>
        <v>14000</v>
      </c>
      <c r="J114" s="64">
        <v>0</v>
      </c>
      <c r="K114" s="64">
        <v>0</v>
      </c>
      <c r="L114" s="64">
        <v>0</v>
      </c>
      <c r="M114" s="64">
        <v>0</v>
      </c>
      <c r="N114" s="64">
        <v>0</v>
      </c>
      <c r="O114" s="64">
        <v>0</v>
      </c>
      <c r="P114" s="64">
        <v>0</v>
      </c>
      <c r="Q114" s="126">
        <v>31200</v>
      </c>
      <c r="R114" s="126">
        <v>31200</v>
      </c>
      <c r="S114" s="192">
        <f>280000/M20</f>
        <v>37162.386356095296</v>
      </c>
      <c r="T114" s="198">
        <f>115495.21/M20</f>
        <v>15328.848629637003</v>
      </c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  <c r="BF114" s="31"/>
      <c r="BG114" s="31"/>
      <c r="BH114" s="31"/>
      <c r="BI114" s="31"/>
      <c r="BJ114" s="31"/>
      <c r="BK114" s="31"/>
      <c r="BL114" s="31"/>
      <c r="BM114" s="31"/>
    </row>
    <row r="115" spans="1:65" x14ac:dyDescent="0.3">
      <c r="A115" s="96">
        <v>32371</v>
      </c>
      <c r="B115" s="39" t="s">
        <v>108</v>
      </c>
      <c r="C115" s="127">
        <v>0</v>
      </c>
      <c r="D115" s="67">
        <v>0</v>
      </c>
      <c r="E115" s="67">
        <v>0</v>
      </c>
      <c r="F115" s="67">
        <v>0</v>
      </c>
      <c r="G115" s="121">
        <v>0</v>
      </c>
      <c r="H115" s="67">
        <v>0</v>
      </c>
      <c r="I115" s="60">
        <v>0</v>
      </c>
      <c r="J115" s="67">
        <v>0</v>
      </c>
      <c r="K115" s="67">
        <v>0</v>
      </c>
      <c r="L115" s="67">
        <v>0</v>
      </c>
      <c r="M115" s="67">
        <v>0</v>
      </c>
      <c r="N115" s="67">
        <v>0</v>
      </c>
      <c r="O115" s="67">
        <v>0</v>
      </c>
      <c r="P115" s="67">
        <v>0</v>
      </c>
      <c r="Q115" s="127">
        <v>0</v>
      </c>
      <c r="R115" s="127">
        <v>0</v>
      </c>
      <c r="S115" s="128">
        <f>10000/M20</f>
        <v>1327.2280841462605</v>
      </c>
      <c r="T115" s="176">
        <f>13683.72/M20</f>
        <v>1816.1417479593865</v>
      </c>
    </row>
    <row r="116" spans="1:65" x14ac:dyDescent="0.3">
      <c r="A116" s="96">
        <v>32372</v>
      </c>
      <c r="B116" s="39" t="s">
        <v>109</v>
      </c>
      <c r="C116" s="127">
        <v>31000</v>
      </c>
      <c r="D116" s="67">
        <v>7000</v>
      </c>
      <c r="E116" s="67">
        <v>0</v>
      </c>
      <c r="F116" s="67">
        <v>0</v>
      </c>
      <c r="G116" s="121">
        <v>10000</v>
      </c>
      <c r="H116" s="67">
        <v>0</v>
      </c>
      <c r="I116" s="60">
        <v>14000</v>
      </c>
      <c r="J116" s="67">
        <v>0</v>
      </c>
      <c r="K116" s="67">
        <v>0</v>
      </c>
      <c r="L116" s="67">
        <v>0</v>
      </c>
      <c r="M116" s="67">
        <v>0</v>
      </c>
      <c r="N116" s="67">
        <v>0</v>
      </c>
      <c r="O116" s="67">
        <v>0</v>
      </c>
      <c r="P116" s="67">
        <v>0</v>
      </c>
      <c r="Q116" s="127">
        <v>31000</v>
      </c>
      <c r="R116" s="127">
        <v>31000</v>
      </c>
      <c r="S116" s="128">
        <f>250000/M20</f>
        <v>33180.702103656513</v>
      </c>
      <c r="T116" s="176">
        <f>101811.49/M20</f>
        <v>13512.706881677615</v>
      </c>
    </row>
    <row r="117" spans="1:65" x14ac:dyDescent="0.3">
      <c r="A117" s="96">
        <v>32373</v>
      </c>
      <c r="B117" s="39" t="s">
        <v>110</v>
      </c>
      <c r="C117" s="127">
        <v>200</v>
      </c>
      <c r="D117" s="67">
        <v>0</v>
      </c>
      <c r="E117" s="67">
        <v>0</v>
      </c>
      <c r="F117" s="67">
        <v>0</v>
      </c>
      <c r="G117" s="121">
        <v>200</v>
      </c>
      <c r="H117" s="67">
        <v>0</v>
      </c>
      <c r="I117" s="60">
        <v>0</v>
      </c>
      <c r="J117" s="67">
        <v>0</v>
      </c>
      <c r="K117" s="67">
        <v>0</v>
      </c>
      <c r="L117" s="67">
        <v>0</v>
      </c>
      <c r="M117" s="67">
        <v>0</v>
      </c>
      <c r="N117" s="67">
        <v>0</v>
      </c>
      <c r="O117" s="67">
        <v>0</v>
      </c>
      <c r="P117" s="67">
        <v>0</v>
      </c>
      <c r="Q117" s="127">
        <v>200</v>
      </c>
      <c r="R117" s="127">
        <v>200</v>
      </c>
      <c r="S117" s="128">
        <f>5000/M20</f>
        <v>663.61404207313024</v>
      </c>
      <c r="T117" s="176">
        <v>0</v>
      </c>
    </row>
    <row r="118" spans="1:65" x14ac:dyDescent="0.3">
      <c r="A118" s="96">
        <v>32377</v>
      </c>
      <c r="B118" s="39" t="s">
        <v>155</v>
      </c>
      <c r="C118" s="127">
        <v>0</v>
      </c>
      <c r="D118" s="67">
        <v>0</v>
      </c>
      <c r="E118" s="67">
        <v>0</v>
      </c>
      <c r="F118" s="67">
        <v>0</v>
      </c>
      <c r="G118" s="121">
        <v>0</v>
      </c>
      <c r="H118" s="67">
        <v>0</v>
      </c>
      <c r="I118" s="60">
        <v>0</v>
      </c>
      <c r="J118" s="67">
        <v>0</v>
      </c>
      <c r="K118" s="67">
        <v>0</v>
      </c>
      <c r="L118" s="67">
        <v>0</v>
      </c>
      <c r="M118" s="67">
        <v>0</v>
      </c>
      <c r="N118" s="67">
        <v>0</v>
      </c>
      <c r="O118" s="67">
        <v>0</v>
      </c>
      <c r="P118" s="67">
        <v>0</v>
      </c>
      <c r="Q118" s="127">
        <v>0</v>
      </c>
      <c r="R118" s="127">
        <v>0</v>
      </c>
      <c r="S118" s="128">
        <f>5000/M20</f>
        <v>663.61404207313024</v>
      </c>
      <c r="T118" s="176">
        <v>0</v>
      </c>
    </row>
    <row r="119" spans="1:65" ht="19.5" customHeight="1" x14ac:dyDescent="0.3">
      <c r="A119" s="96">
        <v>32379</v>
      </c>
      <c r="B119" s="39" t="s">
        <v>111</v>
      </c>
      <c r="C119" s="127">
        <v>0</v>
      </c>
      <c r="D119" s="67">
        <v>0</v>
      </c>
      <c r="E119" s="67">
        <v>0</v>
      </c>
      <c r="F119" s="67">
        <v>0</v>
      </c>
      <c r="G119" s="121">
        <v>0</v>
      </c>
      <c r="H119" s="67">
        <v>0</v>
      </c>
      <c r="I119" s="60">
        <v>0</v>
      </c>
      <c r="J119" s="67">
        <v>0</v>
      </c>
      <c r="K119" s="67">
        <v>0</v>
      </c>
      <c r="L119" s="67">
        <v>0</v>
      </c>
      <c r="M119" s="67">
        <v>0</v>
      </c>
      <c r="N119" s="67">
        <v>0</v>
      </c>
      <c r="O119" s="67">
        <v>0</v>
      </c>
      <c r="P119" s="67">
        <v>0</v>
      </c>
      <c r="Q119" s="127">
        <v>0</v>
      </c>
      <c r="R119" s="127">
        <v>0</v>
      </c>
      <c r="S119" s="128">
        <f>10000/M20</f>
        <v>1327.2280841462605</v>
      </c>
      <c r="T119" s="176">
        <v>0</v>
      </c>
    </row>
    <row r="120" spans="1:65" s="36" customFormat="1" x14ac:dyDescent="0.3">
      <c r="A120" s="95">
        <v>3238</v>
      </c>
      <c r="B120" s="37" t="s">
        <v>43</v>
      </c>
      <c r="C120" s="126">
        <v>3500</v>
      </c>
      <c r="D120" s="64">
        <f>D123</f>
        <v>0</v>
      </c>
      <c r="E120" s="116">
        <v>0</v>
      </c>
      <c r="F120" s="64">
        <v>0</v>
      </c>
      <c r="G120" s="120">
        <f>G121+G123</f>
        <v>3500</v>
      </c>
      <c r="H120" s="64">
        <v>0</v>
      </c>
      <c r="I120" s="118">
        <v>0</v>
      </c>
      <c r="J120" s="64">
        <v>0</v>
      </c>
      <c r="K120" s="64">
        <v>0</v>
      </c>
      <c r="L120" s="64">
        <v>0</v>
      </c>
      <c r="M120" s="64">
        <v>0</v>
      </c>
      <c r="N120" s="64">
        <v>0</v>
      </c>
      <c r="O120" s="64">
        <v>0</v>
      </c>
      <c r="P120" s="64">
        <v>0</v>
      </c>
      <c r="Q120" s="126">
        <v>3500</v>
      </c>
      <c r="R120" s="126">
        <v>3500</v>
      </c>
      <c r="S120" s="192">
        <f>32000/M20</f>
        <v>4247.1298692680339</v>
      </c>
      <c r="T120" s="198">
        <f>10350/M20</f>
        <v>1373.6810670913796</v>
      </c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  <c r="AV120" s="31"/>
      <c r="AW120" s="31"/>
      <c r="AX120" s="31"/>
      <c r="AY120" s="31"/>
      <c r="AZ120" s="31"/>
      <c r="BA120" s="31"/>
      <c r="BB120" s="31"/>
      <c r="BC120" s="31"/>
      <c r="BD120" s="31"/>
      <c r="BE120" s="31"/>
      <c r="BF120" s="31"/>
      <c r="BG120" s="31"/>
      <c r="BH120" s="31"/>
      <c r="BI120" s="31"/>
      <c r="BJ120" s="31"/>
      <c r="BK120" s="31"/>
      <c r="BL120" s="31"/>
      <c r="BM120" s="31"/>
    </row>
    <row r="121" spans="1:65" s="31" customFormat="1" x14ac:dyDescent="0.3">
      <c r="A121" s="97">
        <v>32381</v>
      </c>
      <c r="B121" s="41" t="s">
        <v>133</v>
      </c>
      <c r="C121" s="127">
        <v>0</v>
      </c>
      <c r="D121" s="66">
        <v>0</v>
      </c>
      <c r="E121" s="117">
        <v>0</v>
      </c>
      <c r="F121" s="66">
        <v>0</v>
      </c>
      <c r="G121" s="121">
        <v>0</v>
      </c>
      <c r="H121" s="66">
        <v>0</v>
      </c>
      <c r="I121" s="129">
        <v>0</v>
      </c>
      <c r="J121" s="66">
        <v>0</v>
      </c>
      <c r="K121" s="66">
        <v>0</v>
      </c>
      <c r="L121" s="66">
        <v>0</v>
      </c>
      <c r="M121" s="66">
        <v>0</v>
      </c>
      <c r="N121" s="66">
        <v>0</v>
      </c>
      <c r="O121" s="66">
        <v>0</v>
      </c>
      <c r="P121" s="66">
        <v>0</v>
      </c>
      <c r="Q121" s="127">
        <v>0</v>
      </c>
      <c r="R121" s="127">
        <v>0</v>
      </c>
      <c r="S121" s="128">
        <f>5000/M20</f>
        <v>663.61404207313024</v>
      </c>
      <c r="T121" s="176">
        <v>0</v>
      </c>
    </row>
    <row r="122" spans="1:65" x14ac:dyDescent="0.3">
      <c r="A122" s="96">
        <v>32382</v>
      </c>
      <c r="B122" s="39" t="s">
        <v>112</v>
      </c>
      <c r="C122" s="127">
        <v>0</v>
      </c>
      <c r="D122" s="67">
        <v>0</v>
      </c>
      <c r="E122" s="67">
        <v>0</v>
      </c>
      <c r="F122" s="67">
        <v>0</v>
      </c>
      <c r="G122" s="121">
        <v>0</v>
      </c>
      <c r="H122" s="67">
        <v>0</v>
      </c>
      <c r="I122" s="60">
        <v>0</v>
      </c>
      <c r="J122" s="67">
        <v>0</v>
      </c>
      <c r="K122" s="67">
        <v>0</v>
      </c>
      <c r="L122" s="67">
        <v>0</v>
      </c>
      <c r="M122" s="67">
        <v>0</v>
      </c>
      <c r="N122" s="67">
        <v>0</v>
      </c>
      <c r="O122" s="67">
        <v>0</v>
      </c>
      <c r="P122" s="67">
        <v>0</v>
      </c>
      <c r="Q122" s="127">
        <v>0</v>
      </c>
      <c r="R122" s="127">
        <v>0</v>
      </c>
      <c r="S122" s="128">
        <f>5000/M20</f>
        <v>663.61404207313024</v>
      </c>
      <c r="T122" s="176">
        <v>0</v>
      </c>
    </row>
    <row r="123" spans="1:65" x14ac:dyDescent="0.3">
      <c r="A123" s="96">
        <v>32389</v>
      </c>
      <c r="B123" s="39" t="s">
        <v>113</v>
      </c>
      <c r="C123" s="127">
        <v>3500</v>
      </c>
      <c r="D123" s="67">
        <v>0</v>
      </c>
      <c r="E123" s="67">
        <v>0</v>
      </c>
      <c r="F123" s="67">
        <v>0</v>
      </c>
      <c r="G123" s="121">
        <v>3500</v>
      </c>
      <c r="H123" s="67">
        <v>0</v>
      </c>
      <c r="I123" s="60">
        <v>0</v>
      </c>
      <c r="J123" s="67">
        <v>0</v>
      </c>
      <c r="K123" s="67">
        <v>0</v>
      </c>
      <c r="L123" s="67">
        <v>0</v>
      </c>
      <c r="M123" s="67">
        <v>0</v>
      </c>
      <c r="N123" s="67">
        <v>0</v>
      </c>
      <c r="O123" s="67">
        <v>0</v>
      </c>
      <c r="P123" s="67">
        <v>0</v>
      </c>
      <c r="Q123" s="127">
        <v>3500</v>
      </c>
      <c r="R123" s="127">
        <v>3500</v>
      </c>
      <c r="S123" s="128">
        <f>22000/M20</f>
        <v>2919.9017851217732</v>
      </c>
      <c r="T123" s="176">
        <f>10350/M20</f>
        <v>1373.6810670913796</v>
      </c>
    </row>
    <row r="124" spans="1:65" s="36" customFormat="1" x14ac:dyDescent="0.3">
      <c r="A124" s="95">
        <v>3239</v>
      </c>
      <c r="B124" s="37" t="s">
        <v>44</v>
      </c>
      <c r="C124" s="126">
        <v>5700</v>
      </c>
      <c r="D124" s="64">
        <f>D125+D126+D130</f>
        <v>4000</v>
      </c>
      <c r="E124" s="116">
        <v>0</v>
      </c>
      <c r="F124" s="64">
        <v>0</v>
      </c>
      <c r="G124" s="120">
        <f>G125+G126+G127+G128+G130</f>
        <v>1700</v>
      </c>
      <c r="H124" s="64">
        <v>0</v>
      </c>
      <c r="I124" s="116">
        <v>0</v>
      </c>
      <c r="J124" s="64">
        <v>0</v>
      </c>
      <c r="K124" s="64">
        <v>0</v>
      </c>
      <c r="L124" s="64">
        <v>0</v>
      </c>
      <c r="M124" s="64">
        <v>0</v>
      </c>
      <c r="N124" s="64">
        <v>0</v>
      </c>
      <c r="O124" s="64">
        <v>0</v>
      </c>
      <c r="P124" s="64">
        <v>0</v>
      </c>
      <c r="Q124" s="126">
        <v>5700</v>
      </c>
      <c r="R124" s="126">
        <v>5700</v>
      </c>
      <c r="S124" s="192">
        <f>39000/M20</f>
        <v>5176.1895281704155</v>
      </c>
      <c r="T124" s="198">
        <f>17369.4/M20</f>
        <v>2305.3155484770059</v>
      </c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  <c r="AV124" s="31"/>
      <c r="AW124" s="31"/>
      <c r="AX124" s="31"/>
      <c r="AY124" s="31"/>
      <c r="AZ124" s="31"/>
      <c r="BA124" s="31"/>
      <c r="BB124" s="31"/>
      <c r="BC124" s="31"/>
      <c r="BD124" s="31"/>
      <c r="BE124" s="31"/>
      <c r="BF124" s="31"/>
      <c r="BG124" s="31"/>
      <c r="BH124" s="31"/>
      <c r="BI124" s="31"/>
      <c r="BJ124" s="31"/>
      <c r="BK124" s="31"/>
      <c r="BL124" s="31"/>
      <c r="BM124" s="31"/>
    </row>
    <row r="125" spans="1:65" ht="36.75" x14ac:dyDescent="0.3">
      <c r="A125" s="96">
        <v>32391</v>
      </c>
      <c r="B125" s="40" t="s">
        <v>121</v>
      </c>
      <c r="C125" s="127">
        <v>2500</v>
      </c>
      <c r="D125" s="67">
        <v>2500</v>
      </c>
      <c r="E125" s="67">
        <v>0</v>
      </c>
      <c r="F125" s="67">
        <v>0</v>
      </c>
      <c r="G125" s="121">
        <v>0</v>
      </c>
      <c r="H125" s="67">
        <v>0</v>
      </c>
      <c r="I125" s="67">
        <v>0</v>
      </c>
      <c r="J125" s="67">
        <v>0</v>
      </c>
      <c r="K125" s="67">
        <v>0</v>
      </c>
      <c r="L125" s="67">
        <v>0</v>
      </c>
      <c r="M125" s="67">
        <v>0</v>
      </c>
      <c r="N125" s="67">
        <v>0</v>
      </c>
      <c r="O125" s="67">
        <v>0</v>
      </c>
      <c r="P125" s="67">
        <v>0</v>
      </c>
      <c r="Q125" s="127">
        <v>2500</v>
      </c>
      <c r="R125" s="127">
        <v>2500</v>
      </c>
      <c r="S125" s="128">
        <f>19000/M20</f>
        <v>2521.7333598778951</v>
      </c>
      <c r="T125" s="176">
        <f>7824.15/M20</f>
        <v>1038.4431614572964</v>
      </c>
    </row>
    <row r="126" spans="1:65" x14ac:dyDescent="0.3">
      <c r="A126" s="96">
        <v>32392</v>
      </c>
      <c r="B126" s="39" t="s">
        <v>114</v>
      </c>
      <c r="C126" s="127">
        <v>0</v>
      </c>
      <c r="D126" s="67">
        <v>0</v>
      </c>
      <c r="E126" s="67">
        <v>0</v>
      </c>
      <c r="F126" s="67">
        <v>0</v>
      </c>
      <c r="G126" s="121">
        <v>0</v>
      </c>
      <c r="H126" s="67">
        <v>0</v>
      </c>
      <c r="I126" s="67">
        <v>0</v>
      </c>
      <c r="J126" s="67">
        <v>0</v>
      </c>
      <c r="K126" s="67">
        <v>0</v>
      </c>
      <c r="L126" s="67">
        <v>0</v>
      </c>
      <c r="M126" s="67">
        <v>0</v>
      </c>
      <c r="N126" s="67">
        <v>0</v>
      </c>
      <c r="O126" s="67">
        <v>0</v>
      </c>
      <c r="P126" s="67">
        <v>0</v>
      </c>
      <c r="Q126" s="127">
        <v>0</v>
      </c>
      <c r="R126" s="127">
        <v>0</v>
      </c>
      <c r="S126" s="128">
        <f>5000/M20</f>
        <v>663.61404207313024</v>
      </c>
      <c r="T126" s="176">
        <f>3500/M20</f>
        <v>464.52982945119118</v>
      </c>
    </row>
    <row r="127" spans="1:65" x14ac:dyDescent="0.3">
      <c r="A127" s="96">
        <v>32394</v>
      </c>
      <c r="B127" s="39" t="s">
        <v>132</v>
      </c>
      <c r="C127" s="127">
        <v>700</v>
      </c>
      <c r="D127" s="67">
        <v>0</v>
      </c>
      <c r="E127" s="67">
        <v>0</v>
      </c>
      <c r="F127" s="67">
        <v>0</v>
      </c>
      <c r="G127" s="121">
        <v>700</v>
      </c>
      <c r="H127" s="67">
        <v>0</v>
      </c>
      <c r="I127" s="67">
        <v>0</v>
      </c>
      <c r="J127" s="67">
        <v>0</v>
      </c>
      <c r="K127" s="67">
        <v>0</v>
      </c>
      <c r="L127" s="67">
        <v>0</v>
      </c>
      <c r="M127" s="67">
        <v>0</v>
      </c>
      <c r="N127" s="67">
        <v>0</v>
      </c>
      <c r="O127" s="67">
        <v>0</v>
      </c>
      <c r="P127" s="67">
        <v>0</v>
      </c>
      <c r="Q127" s="127">
        <v>700</v>
      </c>
      <c r="R127" s="127">
        <v>700</v>
      </c>
      <c r="S127" s="128">
        <f>3000/M20</f>
        <v>398.16842524387812</v>
      </c>
      <c r="T127" s="176">
        <f>1884.25/M20</f>
        <v>250.08295175525913</v>
      </c>
    </row>
    <row r="128" spans="1:65" x14ac:dyDescent="0.3">
      <c r="A128" s="96">
        <v>32395</v>
      </c>
      <c r="B128" s="39" t="s">
        <v>139</v>
      </c>
      <c r="C128" s="127">
        <v>0</v>
      </c>
      <c r="D128" s="67">
        <v>0</v>
      </c>
      <c r="E128" s="67">
        <v>0</v>
      </c>
      <c r="F128" s="67">
        <v>0</v>
      </c>
      <c r="G128" s="121">
        <v>0</v>
      </c>
      <c r="H128" s="67">
        <v>0</v>
      </c>
      <c r="I128" s="67">
        <v>0</v>
      </c>
      <c r="J128" s="67">
        <v>0</v>
      </c>
      <c r="K128" s="67">
        <v>0</v>
      </c>
      <c r="L128" s="67">
        <v>0</v>
      </c>
      <c r="M128" s="67">
        <v>0</v>
      </c>
      <c r="N128" s="67">
        <v>0</v>
      </c>
      <c r="O128" s="67">
        <v>0</v>
      </c>
      <c r="P128" s="67">
        <v>0</v>
      </c>
      <c r="Q128" s="127">
        <v>0</v>
      </c>
      <c r="R128" s="127">
        <v>0</v>
      </c>
      <c r="S128" s="128">
        <f>1000/M20</f>
        <v>132.72280841462606</v>
      </c>
      <c r="T128" s="176">
        <f>270/M20</f>
        <v>35.835158271949034</v>
      </c>
    </row>
    <row r="129" spans="1:65" x14ac:dyDescent="0.3">
      <c r="A129" s="96">
        <v>32396</v>
      </c>
      <c r="B129" s="39" t="s">
        <v>115</v>
      </c>
      <c r="C129" s="127">
        <v>0</v>
      </c>
      <c r="D129" s="67">
        <v>0</v>
      </c>
      <c r="E129" s="67">
        <v>0</v>
      </c>
      <c r="F129" s="67">
        <v>0</v>
      </c>
      <c r="G129" s="121">
        <v>0</v>
      </c>
      <c r="H129" s="67">
        <v>0</v>
      </c>
      <c r="I129" s="67">
        <v>0</v>
      </c>
      <c r="J129" s="67">
        <v>0</v>
      </c>
      <c r="K129" s="67">
        <v>0</v>
      </c>
      <c r="L129" s="67">
        <v>0</v>
      </c>
      <c r="M129" s="67">
        <v>0</v>
      </c>
      <c r="N129" s="67">
        <v>0</v>
      </c>
      <c r="O129" s="67">
        <v>0</v>
      </c>
      <c r="P129" s="67">
        <v>0</v>
      </c>
      <c r="Q129" s="127">
        <v>0</v>
      </c>
      <c r="R129" s="127">
        <v>0</v>
      </c>
      <c r="S129" s="128">
        <f>1000/M20</f>
        <v>132.72280841462606</v>
      </c>
      <c r="T129" s="176">
        <v>0</v>
      </c>
    </row>
    <row r="130" spans="1:65" ht="19.5" thickBot="1" x14ac:dyDescent="0.35">
      <c r="A130" s="94">
        <v>32399</v>
      </c>
      <c r="B130" s="35" t="s">
        <v>116</v>
      </c>
      <c r="C130" s="125">
        <v>2500</v>
      </c>
      <c r="D130" s="68">
        <v>1500</v>
      </c>
      <c r="E130" s="68">
        <v>0</v>
      </c>
      <c r="F130" s="68">
        <v>0</v>
      </c>
      <c r="G130" s="123">
        <v>1000</v>
      </c>
      <c r="H130" s="68">
        <v>0</v>
      </c>
      <c r="I130" s="68">
        <v>0</v>
      </c>
      <c r="J130" s="68">
        <v>0</v>
      </c>
      <c r="K130" s="68">
        <v>0</v>
      </c>
      <c r="L130" s="68">
        <v>0</v>
      </c>
      <c r="M130" s="68">
        <v>0</v>
      </c>
      <c r="N130" s="68">
        <v>0</v>
      </c>
      <c r="O130" s="68">
        <v>0</v>
      </c>
      <c r="P130" s="68">
        <v>0</v>
      </c>
      <c r="Q130" s="125">
        <v>2500</v>
      </c>
      <c r="R130" s="125">
        <v>2500</v>
      </c>
      <c r="S130" s="190">
        <f>10000/M20</f>
        <v>1327.2280841462605</v>
      </c>
      <c r="T130" s="217">
        <f>3891/M20</f>
        <v>516.42444754130997</v>
      </c>
    </row>
    <row r="131" spans="1:65" s="32" customFormat="1" ht="19.5" thickBot="1" x14ac:dyDescent="0.35">
      <c r="A131" s="69">
        <v>324</v>
      </c>
      <c r="B131" s="70" t="s">
        <v>27</v>
      </c>
      <c r="C131" s="182">
        <v>11470</v>
      </c>
      <c r="D131" s="71">
        <f>D132</f>
        <v>4000</v>
      </c>
      <c r="E131" s="119">
        <f>E132</f>
        <v>1470</v>
      </c>
      <c r="F131" s="71">
        <v>0</v>
      </c>
      <c r="G131" s="183">
        <f>G132</f>
        <v>2000</v>
      </c>
      <c r="H131" s="71">
        <v>0</v>
      </c>
      <c r="I131" s="119">
        <f>I132</f>
        <v>4000</v>
      </c>
      <c r="J131" s="71">
        <v>0</v>
      </c>
      <c r="K131" s="71">
        <v>0</v>
      </c>
      <c r="L131" s="71">
        <v>0</v>
      </c>
      <c r="M131" s="71">
        <v>0</v>
      </c>
      <c r="N131" s="71">
        <v>0</v>
      </c>
      <c r="O131" s="71">
        <v>0</v>
      </c>
      <c r="P131" s="71">
        <v>0</v>
      </c>
      <c r="Q131" s="182">
        <v>11470</v>
      </c>
      <c r="R131" s="182">
        <v>11470</v>
      </c>
      <c r="S131" s="182">
        <f>47000/V131</f>
        <v>6237.9719954874245</v>
      </c>
      <c r="T131" s="184">
        <f>49237.25/V131</f>
        <v>6534.9060986130462</v>
      </c>
      <c r="U131" s="258" t="s">
        <v>210</v>
      </c>
      <c r="V131" s="259">
        <v>7.5345000000000004</v>
      </c>
      <c r="W131" s="33"/>
      <c r="X131" s="33"/>
      <c r="Y131" s="33"/>
      <c r="Z131" s="33"/>
      <c r="AA131" s="33"/>
      <c r="AB131" s="33"/>
      <c r="AC131" s="33"/>
      <c r="AD131" s="33"/>
      <c r="AE131" s="33"/>
      <c r="AF131" s="33"/>
      <c r="AG131" s="33"/>
      <c r="AH131" s="33"/>
      <c r="AI131" s="33"/>
      <c r="AJ131" s="33"/>
      <c r="AK131" s="33"/>
      <c r="AL131" s="33"/>
      <c r="AM131" s="33"/>
      <c r="AN131" s="33"/>
      <c r="AO131" s="33"/>
      <c r="AP131" s="33"/>
      <c r="AQ131" s="33"/>
      <c r="AR131" s="33"/>
      <c r="AS131" s="33"/>
      <c r="AT131" s="33"/>
      <c r="AU131" s="33"/>
      <c r="AV131" s="33"/>
      <c r="AW131" s="33"/>
      <c r="AX131" s="33"/>
      <c r="AY131" s="33"/>
      <c r="AZ131" s="33"/>
      <c r="BA131" s="33"/>
      <c r="BB131" s="33"/>
      <c r="BC131" s="33"/>
      <c r="BD131" s="33"/>
      <c r="BE131" s="33"/>
      <c r="BF131" s="33"/>
      <c r="BG131" s="33"/>
      <c r="BH131" s="33"/>
      <c r="BI131" s="33"/>
      <c r="BJ131" s="33"/>
      <c r="BK131" s="33"/>
      <c r="BL131" s="33"/>
      <c r="BM131" s="33"/>
    </row>
    <row r="132" spans="1:65" s="36" customFormat="1" x14ac:dyDescent="0.3">
      <c r="A132" s="222">
        <v>3241</v>
      </c>
      <c r="B132" s="236" t="s">
        <v>27</v>
      </c>
      <c r="C132" s="224">
        <v>11470</v>
      </c>
      <c r="D132" s="234">
        <f>D134</f>
        <v>4000</v>
      </c>
      <c r="E132" s="233">
        <f>E134</f>
        <v>1470</v>
      </c>
      <c r="F132" s="234">
        <v>0</v>
      </c>
      <c r="G132" s="228">
        <f>G133+G134</f>
        <v>2000</v>
      </c>
      <c r="H132" s="234">
        <v>0</v>
      </c>
      <c r="I132" s="233">
        <f>I134</f>
        <v>4000</v>
      </c>
      <c r="J132" s="234">
        <v>0</v>
      </c>
      <c r="K132" s="234">
        <v>0</v>
      </c>
      <c r="L132" s="234">
        <v>0</v>
      </c>
      <c r="M132" s="234">
        <v>0</v>
      </c>
      <c r="N132" s="234">
        <v>0</v>
      </c>
      <c r="O132" s="234">
        <v>0</v>
      </c>
      <c r="P132" s="234">
        <v>0</v>
      </c>
      <c r="Q132" s="224">
        <v>11470</v>
      </c>
      <c r="R132" s="224">
        <v>11470</v>
      </c>
      <c r="S132" s="191">
        <f>47000/V131</f>
        <v>6237.9719954874245</v>
      </c>
      <c r="T132" s="229">
        <f>49237.25/V131</f>
        <v>6534.9060986130462</v>
      </c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  <c r="AV132" s="31"/>
      <c r="AW132" s="31"/>
      <c r="AX132" s="31"/>
      <c r="AY132" s="31"/>
      <c r="AZ132" s="31"/>
      <c r="BA132" s="31"/>
      <c r="BB132" s="31"/>
      <c r="BC132" s="31"/>
      <c r="BD132" s="31"/>
      <c r="BE132" s="31"/>
      <c r="BF132" s="31"/>
      <c r="BG132" s="31"/>
      <c r="BH132" s="31"/>
      <c r="BI132" s="31"/>
      <c r="BJ132" s="31"/>
      <c r="BK132" s="31"/>
      <c r="BL132" s="31"/>
      <c r="BM132" s="31"/>
    </row>
    <row r="133" spans="1:65" x14ac:dyDescent="0.3">
      <c r="A133" s="96">
        <v>32411</v>
      </c>
      <c r="B133" s="39" t="s">
        <v>122</v>
      </c>
      <c r="C133" s="127">
        <v>500</v>
      </c>
      <c r="D133" s="67">
        <v>0</v>
      </c>
      <c r="E133" s="67">
        <v>0</v>
      </c>
      <c r="F133" s="67">
        <v>0</v>
      </c>
      <c r="G133" s="121">
        <v>500</v>
      </c>
      <c r="H133" s="67">
        <v>0</v>
      </c>
      <c r="I133" s="67">
        <v>0</v>
      </c>
      <c r="J133" s="67">
        <v>0</v>
      </c>
      <c r="K133" s="67">
        <v>0</v>
      </c>
      <c r="L133" s="67">
        <v>0</v>
      </c>
      <c r="M133" s="67">
        <v>0</v>
      </c>
      <c r="N133" s="67">
        <v>0</v>
      </c>
      <c r="O133" s="67">
        <v>0</v>
      </c>
      <c r="P133" s="67">
        <v>0</v>
      </c>
      <c r="Q133" s="127">
        <v>500</v>
      </c>
      <c r="R133" s="127">
        <v>500</v>
      </c>
      <c r="S133" s="128">
        <f>18000/V131</f>
        <v>2389.0105514632687</v>
      </c>
      <c r="T133" s="176">
        <f>2053.04/V131</f>
        <v>272.48523458756387</v>
      </c>
    </row>
    <row r="134" spans="1:65" ht="19.5" thickBot="1" x14ac:dyDescent="0.35">
      <c r="A134" s="94">
        <v>32412</v>
      </c>
      <c r="B134" s="35" t="s">
        <v>131</v>
      </c>
      <c r="C134" s="125">
        <v>10970</v>
      </c>
      <c r="D134" s="68">
        <v>4000</v>
      </c>
      <c r="E134" s="68">
        <v>1470</v>
      </c>
      <c r="F134" s="68">
        <v>0</v>
      </c>
      <c r="G134" s="123">
        <v>1500</v>
      </c>
      <c r="H134" s="68">
        <v>0</v>
      </c>
      <c r="I134" s="68">
        <v>4000</v>
      </c>
      <c r="J134" s="68">
        <v>0</v>
      </c>
      <c r="K134" s="68">
        <v>0</v>
      </c>
      <c r="L134" s="68">
        <v>0</v>
      </c>
      <c r="M134" s="68">
        <v>0</v>
      </c>
      <c r="N134" s="68">
        <v>0</v>
      </c>
      <c r="O134" s="68">
        <v>0</v>
      </c>
      <c r="P134" s="68">
        <v>0</v>
      </c>
      <c r="Q134" s="125">
        <v>10970</v>
      </c>
      <c r="R134" s="125">
        <v>10970</v>
      </c>
      <c r="S134" s="190">
        <f>29000/V131</f>
        <v>3848.9614440241553</v>
      </c>
      <c r="T134" s="217">
        <f>47184.21/V131</f>
        <v>6262.4208640254819</v>
      </c>
    </row>
    <row r="135" spans="1:65" s="32" customFormat="1" ht="37.5" thickBot="1" x14ac:dyDescent="0.35">
      <c r="A135" s="69">
        <v>329</v>
      </c>
      <c r="B135" s="230" t="s">
        <v>2</v>
      </c>
      <c r="C135" s="182">
        <v>10300</v>
      </c>
      <c r="D135" s="71">
        <f>D136+D140+D142</f>
        <v>0</v>
      </c>
      <c r="E135" s="71">
        <v>0</v>
      </c>
      <c r="F135" s="71">
        <v>0</v>
      </c>
      <c r="G135" s="183">
        <f>G136+G140+G142+G144+G149+G151</f>
        <v>6600</v>
      </c>
      <c r="H135" s="71">
        <v>0</v>
      </c>
      <c r="I135" s="119">
        <f>I144</f>
        <v>3700</v>
      </c>
      <c r="J135" s="71">
        <v>0</v>
      </c>
      <c r="K135" s="71">
        <v>0</v>
      </c>
      <c r="L135" s="71">
        <v>0</v>
      </c>
      <c r="M135" s="71">
        <v>0</v>
      </c>
      <c r="N135" s="71">
        <v>0</v>
      </c>
      <c r="O135" s="71">
        <v>0</v>
      </c>
      <c r="P135" s="71">
        <v>0</v>
      </c>
      <c r="Q135" s="182">
        <v>10300</v>
      </c>
      <c r="R135" s="182">
        <v>10300</v>
      </c>
      <c r="S135" s="182">
        <f>112000/V131</f>
        <v>14864.954542438118</v>
      </c>
      <c r="T135" s="184">
        <f>55666.1/V131</f>
        <v>7388.1611254894151</v>
      </c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F135" s="33"/>
      <c r="AG135" s="33"/>
      <c r="AH135" s="33"/>
      <c r="AI135" s="33"/>
      <c r="AJ135" s="33"/>
      <c r="AK135" s="33"/>
      <c r="AL135" s="33"/>
      <c r="AM135" s="33"/>
      <c r="AN135" s="33"/>
      <c r="AO135" s="33"/>
      <c r="AP135" s="33"/>
      <c r="AQ135" s="33"/>
      <c r="AR135" s="33"/>
      <c r="AS135" s="33"/>
      <c r="AT135" s="33"/>
      <c r="AU135" s="33"/>
      <c r="AV135" s="33"/>
      <c r="AW135" s="33"/>
      <c r="AX135" s="33"/>
      <c r="AY135" s="33"/>
      <c r="AZ135" s="33"/>
      <c r="BA135" s="33"/>
      <c r="BB135" s="33"/>
      <c r="BC135" s="33"/>
      <c r="BD135" s="33"/>
      <c r="BE135" s="33"/>
      <c r="BF135" s="33"/>
      <c r="BG135" s="33"/>
      <c r="BH135" s="33"/>
      <c r="BI135" s="33"/>
      <c r="BJ135" s="33"/>
      <c r="BK135" s="33"/>
      <c r="BL135" s="33"/>
      <c r="BM135" s="33"/>
    </row>
    <row r="136" spans="1:65" s="44" customFormat="1" x14ac:dyDescent="0.3">
      <c r="A136" s="222">
        <v>3292</v>
      </c>
      <c r="B136" s="223" t="s">
        <v>54</v>
      </c>
      <c r="C136" s="224">
        <v>2300</v>
      </c>
      <c r="D136" s="234">
        <f>D138</f>
        <v>0</v>
      </c>
      <c r="E136" s="234">
        <v>0</v>
      </c>
      <c r="F136" s="234">
        <v>0</v>
      </c>
      <c r="G136" s="228">
        <f>G137+G138</f>
        <v>2300</v>
      </c>
      <c r="H136" s="234">
        <v>0</v>
      </c>
      <c r="I136" s="233">
        <v>0</v>
      </c>
      <c r="J136" s="234">
        <v>0</v>
      </c>
      <c r="K136" s="234">
        <v>0</v>
      </c>
      <c r="L136" s="234">
        <v>0</v>
      </c>
      <c r="M136" s="234">
        <v>0</v>
      </c>
      <c r="N136" s="234">
        <v>0</v>
      </c>
      <c r="O136" s="234">
        <v>0</v>
      </c>
      <c r="P136" s="234">
        <v>0</v>
      </c>
      <c r="Q136" s="224">
        <v>2300</v>
      </c>
      <c r="R136" s="224">
        <v>2300</v>
      </c>
      <c r="S136" s="191">
        <f>16000/V131</f>
        <v>2123.5649346340169</v>
      </c>
      <c r="T136" s="229">
        <f>8904.1/V131</f>
        <v>1181.7771584046718</v>
      </c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F136" s="33"/>
      <c r="AG136" s="33"/>
      <c r="AH136" s="33"/>
      <c r="AI136" s="33"/>
      <c r="AJ136" s="33"/>
      <c r="AK136" s="33"/>
      <c r="AL136" s="33"/>
      <c r="AM136" s="33"/>
      <c r="AN136" s="33"/>
      <c r="AO136" s="33"/>
      <c r="AP136" s="33"/>
      <c r="AQ136" s="33"/>
      <c r="AR136" s="33"/>
      <c r="AS136" s="33"/>
      <c r="AT136" s="33"/>
      <c r="AU136" s="33"/>
      <c r="AV136" s="33"/>
      <c r="AW136" s="33"/>
      <c r="AX136" s="33"/>
      <c r="AY136" s="33"/>
      <c r="AZ136" s="33"/>
      <c r="BA136" s="33"/>
      <c r="BB136" s="33"/>
      <c r="BC136" s="33"/>
      <c r="BD136" s="33"/>
      <c r="BE136" s="33"/>
      <c r="BF136" s="33"/>
      <c r="BG136" s="33"/>
      <c r="BH136" s="33"/>
      <c r="BI136" s="33"/>
      <c r="BJ136" s="33"/>
      <c r="BK136" s="33"/>
      <c r="BL136" s="33"/>
      <c r="BM136" s="33"/>
    </row>
    <row r="137" spans="1:65" s="33" customFormat="1" ht="36.75" x14ac:dyDescent="0.3">
      <c r="A137" s="97">
        <v>32921</v>
      </c>
      <c r="B137" s="42" t="s">
        <v>129</v>
      </c>
      <c r="C137" s="127">
        <v>1100</v>
      </c>
      <c r="D137" s="66">
        <v>0</v>
      </c>
      <c r="E137" s="66">
        <v>0</v>
      </c>
      <c r="F137" s="66">
        <v>0</v>
      </c>
      <c r="G137" s="121">
        <v>1100</v>
      </c>
      <c r="H137" s="66">
        <v>0</v>
      </c>
      <c r="I137" s="117">
        <v>0</v>
      </c>
      <c r="J137" s="66">
        <v>0</v>
      </c>
      <c r="K137" s="66">
        <v>0</v>
      </c>
      <c r="L137" s="66">
        <v>0</v>
      </c>
      <c r="M137" s="66">
        <v>0</v>
      </c>
      <c r="N137" s="66">
        <v>0</v>
      </c>
      <c r="O137" s="66">
        <v>0</v>
      </c>
      <c r="P137" s="66">
        <v>0</v>
      </c>
      <c r="Q137" s="127">
        <v>1100</v>
      </c>
      <c r="R137" s="127">
        <v>1100</v>
      </c>
      <c r="S137" s="128">
        <f>8000/V131</f>
        <v>1061.7824673170085</v>
      </c>
      <c r="T137" s="176">
        <f>2694.36/V131</f>
        <v>357.60302608003184</v>
      </c>
    </row>
    <row r="138" spans="1:65" s="33" customFormat="1" ht="36.75" x14ac:dyDescent="0.3">
      <c r="A138" s="97">
        <v>32922</v>
      </c>
      <c r="B138" s="42" t="s">
        <v>130</v>
      </c>
      <c r="C138" s="127">
        <v>1200</v>
      </c>
      <c r="D138" s="66">
        <v>0</v>
      </c>
      <c r="E138" s="66">
        <v>0</v>
      </c>
      <c r="F138" s="66">
        <v>0</v>
      </c>
      <c r="G138" s="121">
        <v>1200</v>
      </c>
      <c r="H138" s="66">
        <v>0</v>
      </c>
      <c r="I138" s="117">
        <v>0</v>
      </c>
      <c r="J138" s="66">
        <v>0</v>
      </c>
      <c r="K138" s="66">
        <v>0</v>
      </c>
      <c r="L138" s="66">
        <v>0</v>
      </c>
      <c r="M138" s="66">
        <v>0</v>
      </c>
      <c r="N138" s="66">
        <v>0</v>
      </c>
      <c r="O138" s="66">
        <v>0</v>
      </c>
      <c r="P138" s="66">
        <v>0</v>
      </c>
      <c r="Q138" s="127">
        <v>1200</v>
      </c>
      <c r="R138" s="127">
        <v>1200</v>
      </c>
      <c r="S138" s="128">
        <f>8000/V131</f>
        <v>1061.7824673170085</v>
      </c>
      <c r="T138" s="176">
        <f>6209.74/V131</f>
        <v>824.17413232463991</v>
      </c>
    </row>
    <row r="139" spans="1:65" s="32" customFormat="1" x14ac:dyDescent="0.3">
      <c r="A139" s="103">
        <v>32923</v>
      </c>
      <c r="B139" s="100" t="s">
        <v>117</v>
      </c>
      <c r="C139" s="127">
        <v>0</v>
      </c>
      <c r="D139" s="101">
        <v>0</v>
      </c>
      <c r="E139" s="101">
        <v>0</v>
      </c>
      <c r="F139" s="101">
        <v>0</v>
      </c>
      <c r="G139" s="121">
        <v>0</v>
      </c>
      <c r="H139" s="101">
        <v>0</v>
      </c>
      <c r="I139" s="101">
        <v>0</v>
      </c>
      <c r="J139" s="101">
        <v>0</v>
      </c>
      <c r="K139" s="101">
        <v>0</v>
      </c>
      <c r="L139" s="101">
        <v>0</v>
      </c>
      <c r="M139" s="101">
        <v>0</v>
      </c>
      <c r="N139" s="101">
        <v>0</v>
      </c>
      <c r="O139" s="101">
        <v>0</v>
      </c>
      <c r="P139" s="101">
        <v>0</v>
      </c>
      <c r="Q139" s="127">
        <v>0</v>
      </c>
      <c r="R139" s="127">
        <v>0</v>
      </c>
      <c r="S139" s="128">
        <v>0</v>
      </c>
      <c r="T139" s="176">
        <v>0</v>
      </c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F139" s="33"/>
      <c r="AG139" s="33"/>
      <c r="AH139" s="33"/>
      <c r="AI139" s="33"/>
      <c r="AJ139" s="33"/>
      <c r="AK139" s="33"/>
      <c r="AL139" s="33"/>
      <c r="AM139" s="33"/>
      <c r="AN139" s="33"/>
      <c r="AO139" s="33"/>
      <c r="AP139" s="33"/>
      <c r="AQ139" s="33"/>
      <c r="AR139" s="33"/>
      <c r="AS139" s="33"/>
      <c r="AT139" s="33"/>
      <c r="AU139" s="33"/>
      <c r="AV139" s="33"/>
      <c r="AW139" s="33"/>
      <c r="AX139" s="33"/>
      <c r="AY139" s="33"/>
      <c r="AZ139" s="33"/>
      <c r="BA139" s="33"/>
      <c r="BB139" s="33"/>
      <c r="BC139" s="33"/>
      <c r="BD139" s="33"/>
      <c r="BE139" s="33"/>
      <c r="BF139" s="33"/>
      <c r="BG139" s="33"/>
      <c r="BH139" s="33"/>
      <c r="BI139" s="33"/>
      <c r="BJ139" s="33"/>
      <c r="BK139" s="33"/>
      <c r="BL139" s="33"/>
      <c r="BM139" s="33"/>
    </row>
    <row r="140" spans="1:65" s="44" customFormat="1" x14ac:dyDescent="0.3">
      <c r="A140" s="95">
        <v>3293</v>
      </c>
      <c r="B140" s="38" t="s">
        <v>45</v>
      </c>
      <c r="C140" s="126">
        <v>1500</v>
      </c>
      <c r="D140" s="64">
        <f>D141</f>
        <v>0</v>
      </c>
      <c r="E140" s="64">
        <v>0</v>
      </c>
      <c r="F140" s="64">
        <v>0</v>
      </c>
      <c r="G140" s="120">
        <f>G141</f>
        <v>1500</v>
      </c>
      <c r="H140" s="64">
        <v>0</v>
      </c>
      <c r="I140" s="116">
        <v>0</v>
      </c>
      <c r="J140" s="64">
        <v>0</v>
      </c>
      <c r="K140" s="64">
        <v>0</v>
      </c>
      <c r="L140" s="64">
        <v>0</v>
      </c>
      <c r="M140" s="64">
        <v>0</v>
      </c>
      <c r="N140" s="64">
        <v>0</v>
      </c>
      <c r="O140" s="64">
        <v>0</v>
      </c>
      <c r="P140" s="64">
        <v>0</v>
      </c>
      <c r="Q140" s="126">
        <v>1500</v>
      </c>
      <c r="R140" s="126">
        <v>1500</v>
      </c>
      <c r="S140" s="192">
        <f>18000/V131</f>
        <v>2389.0105514632687</v>
      </c>
      <c r="T140" s="198">
        <f>12200.07/V131</f>
        <v>1619.2275532550268</v>
      </c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F140" s="33"/>
      <c r="AG140" s="33"/>
      <c r="AH140" s="33"/>
      <c r="AI140" s="33"/>
      <c r="AJ140" s="33"/>
      <c r="AK140" s="33"/>
      <c r="AL140" s="33"/>
      <c r="AM140" s="33"/>
      <c r="AN140" s="33"/>
      <c r="AO140" s="33"/>
      <c r="AP140" s="33"/>
      <c r="AQ140" s="33"/>
      <c r="AR140" s="33"/>
      <c r="AS140" s="33"/>
      <c r="AT140" s="33"/>
      <c r="AU140" s="33"/>
      <c r="AV140" s="33"/>
      <c r="AW140" s="33"/>
      <c r="AX140" s="33"/>
      <c r="AY140" s="33"/>
      <c r="AZ140" s="33"/>
      <c r="BA140" s="33"/>
      <c r="BB140" s="33"/>
      <c r="BC140" s="33"/>
      <c r="BD140" s="33"/>
      <c r="BE140" s="33"/>
      <c r="BF140" s="33"/>
      <c r="BG140" s="33"/>
      <c r="BH140" s="33"/>
      <c r="BI140" s="33"/>
      <c r="BJ140" s="33"/>
      <c r="BK140" s="33"/>
      <c r="BL140" s="33"/>
      <c r="BM140" s="33"/>
    </row>
    <row r="141" spans="1:65" s="32" customFormat="1" x14ac:dyDescent="0.3">
      <c r="A141" s="96">
        <v>32931</v>
      </c>
      <c r="B141" s="40" t="s">
        <v>45</v>
      </c>
      <c r="C141" s="127">
        <v>1500</v>
      </c>
      <c r="D141" s="67">
        <v>0</v>
      </c>
      <c r="E141" s="67">
        <v>0</v>
      </c>
      <c r="F141" s="67">
        <v>0</v>
      </c>
      <c r="G141" s="121">
        <v>1500</v>
      </c>
      <c r="H141" s="67">
        <v>0</v>
      </c>
      <c r="I141" s="67">
        <v>0</v>
      </c>
      <c r="J141" s="67">
        <v>0</v>
      </c>
      <c r="K141" s="67">
        <v>0</v>
      </c>
      <c r="L141" s="67">
        <v>0</v>
      </c>
      <c r="M141" s="67">
        <v>0</v>
      </c>
      <c r="N141" s="67">
        <v>0</v>
      </c>
      <c r="O141" s="67">
        <v>0</v>
      </c>
      <c r="P141" s="67">
        <v>0</v>
      </c>
      <c r="Q141" s="127">
        <v>1500</v>
      </c>
      <c r="R141" s="127">
        <v>1500</v>
      </c>
      <c r="S141" s="128">
        <f>18000/V131</f>
        <v>2389.0105514632687</v>
      </c>
      <c r="T141" s="176">
        <f>12200.07/V131</f>
        <v>1619.2275532550268</v>
      </c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F141" s="33"/>
      <c r="AG141" s="33"/>
      <c r="AH141" s="33"/>
      <c r="AI141" s="33"/>
      <c r="AJ141" s="33"/>
      <c r="AK141" s="33"/>
      <c r="AL141" s="33"/>
      <c r="AM141" s="33"/>
      <c r="AN141" s="33"/>
      <c r="AO141" s="33"/>
      <c r="AP141" s="33"/>
      <c r="AQ141" s="33"/>
      <c r="AR141" s="33"/>
      <c r="AS141" s="33"/>
      <c r="AT141" s="33"/>
      <c r="AU141" s="33"/>
      <c r="AV141" s="33"/>
      <c r="AW141" s="33"/>
      <c r="AX141" s="33"/>
      <c r="AY141" s="33"/>
      <c r="AZ141" s="33"/>
      <c r="BA141" s="33"/>
      <c r="BB141" s="33"/>
      <c r="BC141" s="33"/>
      <c r="BD141" s="33"/>
      <c r="BE141" s="33"/>
      <c r="BF141" s="33"/>
      <c r="BG141" s="33"/>
      <c r="BH141" s="33"/>
      <c r="BI141" s="33"/>
      <c r="BJ141" s="33"/>
      <c r="BK141" s="33"/>
      <c r="BL141" s="33"/>
      <c r="BM141" s="33"/>
    </row>
    <row r="142" spans="1:65" s="36" customFormat="1" x14ac:dyDescent="0.3">
      <c r="A142" s="95">
        <v>3294</v>
      </c>
      <c r="B142" s="38" t="s">
        <v>46</v>
      </c>
      <c r="C142" s="126">
        <v>1500</v>
      </c>
      <c r="D142" s="64">
        <f>D143</f>
        <v>0</v>
      </c>
      <c r="E142" s="64">
        <v>0</v>
      </c>
      <c r="F142" s="64">
        <v>0</v>
      </c>
      <c r="G142" s="120">
        <f>G143</f>
        <v>1500</v>
      </c>
      <c r="H142" s="64">
        <v>0</v>
      </c>
      <c r="I142" s="116">
        <v>0</v>
      </c>
      <c r="J142" s="64">
        <v>0</v>
      </c>
      <c r="K142" s="64">
        <v>0</v>
      </c>
      <c r="L142" s="64">
        <v>0</v>
      </c>
      <c r="M142" s="64">
        <v>0</v>
      </c>
      <c r="N142" s="64">
        <v>0</v>
      </c>
      <c r="O142" s="64">
        <v>0</v>
      </c>
      <c r="P142" s="64">
        <v>0</v>
      </c>
      <c r="Q142" s="126">
        <v>1500</v>
      </c>
      <c r="R142" s="126">
        <v>1500</v>
      </c>
      <c r="S142" s="192">
        <f>9000/V131</f>
        <v>1194.5052757316344</v>
      </c>
      <c r="T142" s="198">
        <f>5900/V131</f>
        <v>783.06456964629365</v>
      </c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1"/>
      <c r="AL142" s="31"/>
      <c r="AM142" s="31"/>
      <c r="AN142" s="31"/>
      <c r="AO142" s="31"/>
      <c r="AP142" s="31"/>
      <c r="AQ142" s="31"/>
      <c r="AR142" s="31"/>
      <c r="AS142" s="31"/>
      <c r="AT142" s="31"/>
      <c r="AU142" s="31"/>
      <c r="AV142" s="31"/>
      <c r="AW142" s="31"/>
      <c r="AX142" s="31"/>
      <c r="AY142" s="31"/>
      <c r="AZ142" s="31"/>
      <c r="BA142" s="31"/>
      <c r="BB142" s="31"/>
      <c r="BC142" s="31"/>
      <c r="BD142" s="31"/>
      <c r="BE142" s="31"/>
      <c r="BF142" s="31"/>
      <c r="BG142" s="31"/>
      <c r="BH142" s="31"/>
      <c r="BI142" s="31"/>
      <c r="BJ142" s="31"/>
      <c r="BK142" s="31"/>
      <c r="BL142" s="31"/>
      <c r="BM142" s="31"/>
    </row>
    <row r="143" spans="1:65" x14ac:dyDescent="0.3">
      <c r="A143" s="96">
        <v>32941</v>
      </c>
      <c r="B143" s="40" t="s">
        <v>118</v>
      </c>
      <c r="C143" s="127">
        <v>1500</v>
      </c>
      <c r="D143" s="67">
        <v>0</v>
      </c>
      <c r="E143" s="67">
        <v>0</v>
      </c>
      <c r="F143" s="67">
        <v>0</v>
      </c>
      <c r="G143" s="121">
        <v>1500</v>
      </c>
      <c r="H143" s="67">
        <v>0</v>
      </c>
      <c r="I143" s="67">
        <v>0</v>
      </c>
      <c r="J143" s="67">
        <v>0</v>
      </c>
      <c r="K143" s="67">
        <v>0</v>
      </c>
      <c r="L143" s="67">
        <v>0</v>
      </c>
      <c r="M143" s="67">
        <v>0</v>
      </c>
      <c r="N143" s="67">
        <v>0</v>
      </c>
      <c r="O143" s="67">
        <v>0</v>
      </c>
      <c r="P143" s="67">
        <v>0</v>
      </c>
      <c r="Q143" s="127">
        <v>1500</v>
      </c>
      <c r="R143" s="127">
        <v>1500</v>
      </c>
      <c r="S143" s="128">
        <f>9000/V131</f>
        <v>1194.5052757316344</v>
      </c>
      <c r="T143" s="176">
        <f>5900/V131</f>
        <v>783.06456964629365</v>
      </c>
    </row>
    <row r="144" spans="1:65" s="36" customFormat="1" x14ac:dyDescent="0.3">
      <c r="A144" s="95">
        <v>3295</v>
      </c>
      <c r="B144" s="45" t="s">
        <v>55</v>
      </c>
      <c r="C144" s="126">
        <v>4300</v>
      </c>
      <c r="D144" s="64">
        <v>0</v>
      </c>
      <c r="E144" s="64">
        <v>0</v>
      </c>
      <c r="F144" s="64">
        <v>0</v>
      </c>
      <c r="G144" s="120">
        <f>G146+G148</f>
        <v>600</v>
      </c>
      <c r="H144" s="64">
        <v>0</v>
      </c>
      <c r="I144" s="116">
        <f>I147</f>
        <v>3700</v>
      </c>
      <c r="J144" s="64">
        <v>0</v>
      </c>
      <c r="K144" s="64">
        <v>0</v>
      </c>
      <c r="L144" s="64">
        <v>0</v>
      </c>
      <c r="M144" s="64">
        <v>0</v>
      </c>
      <c r="N144" s="64">
        <v>0</v>
      </c>
      <c r="O144" s="64">
        <v>0</v>
      </c>
      <c r="P144" s="64">
        <v>0</v>
      </c>
      <c r="Q144" s="126">
        <v>4300</v>
      </c>
      <c r="R144" s="126">
        <v>4300</v>
      </c>
      <c r="S144" s="192">
        <f>39000/V131</f>
        <v>5176.1895281704155</v>
      </c>
      <c r="T144" s="198">
        <f>14183.8/V131</f>
        <v>1882.5137699913728</v>
      </c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1"/>
      <c r="AL144" s="31"/>
      <c r="AM144" s="31"/>
      <c r="AN144" s="31"/>
      <c r="AO144" s="31"/>
      <c r="AP144" s="31"/>
      <c r="AQ144" s="31"/>
      <c r="AR144" s="31"/>
      <c r="AS144" s="31"/>
      <c r="AT144" s="31"/>
      <c r="AU144" s="31"/>
      <c r="AV144" s="31"/>
      <c r="AW144" s="31"/>
      <c r="AX144" s="31"/>
      <c r="AY144" s="31"/>
      <c r="AZ144" s="31"/>
      <c r="BA144" s="31"/>
      <c r="BB144" s="31"/>
      <c r="BC144" s="31"/>
      <c r="BD144" s="31"/>
      <c r="BE144" s="31"/>
      <c r="BF144" s="31"/>
      <c r="BG144" s="31"/>
      <c r="BH144" s="31"/>
      <c r="BI144" s="31"/>
      <c r="BJ144" s="31"/>
      <c r="BK144" s="31"/>
      <c r="BL144" s="31"/>
      <c r="BM144" s="31"/>
    </row>
    <row r="145" spans="1:65" s="31" customFormat="1" ht="17.25" customHeight="1" x14ac:dyDescent="0.3">
      <c r="A145" s="97">
        <v>32952</v>
      </c>
      <c r="B145" s="102" t="s">
        <v>160</v>
      </c>
      <c r="C145" s="127">
        <v>0</v>
      </c>
      <c r="D145" s="66">
        <v>0</v>
      </c>
      <c r="E145" s="66">
        <v>0</v>
      </c>
      <c r="F145" s="66">
        <v>0</v>
      </c>
      <c r="G145" s="122">
        <v>0</v>
      </c>
      <c r="H145" s="66">
        <v>0</v>
      </c>
      <c r="I145" s="117">
        <v>0</v>
      </c>
      <c r="J145" s="66">
        <v>0</v>
      </c>
      <c r="K145" s="66">
        <v>0</v>
      </c>
      <c r="L145" s="66">
        <v>0</v>
      </c>
      <c r="M145" s="66">
        <v>0</v>
      </c>
      <c r="N145" s="66">
        <v>0</v>
      </c>
      <c r="O145" s="66">
        <v>0</v>
      </c>
      <c r="P145" s="66">
        <v>0</v>
      </c>
      <c r="Q145" s="127">
        <v>0</v>
      </c>
      <c r="R145" s="127">
        <v>0</v>
      </c>
      <c r="S145" s="128">
        <f>13000/V131</f>
        <v>1725.3965093901386</v>
      </c>
      <c r="T145" s="176">
        <f>1500/V131</f>
        <v>199.08421262193906</v>
      </c>
    </row>
    <row r="146" spans="1:65" s="31" customFormat="1" x14ac:dyDescent="0.3">
      <c r="A146" s="97">
        <v>32953</v>
      </c>
      <c r="B146" s="102" t="s">
        <v>128</v>
      </c>
      <c r="C146" s="127">
        <v>300</v>
      </c>
      <c r="D146" s="66">
        <v>0</v>
      </c>
      <c r="E146" s="66">
        <v>0</v>
      </c>
      <c r="F146" s="66">
        <v>0</v>
      </c>
      <c r="G146" s="121">
        <v>300</v>
      </c>
      <c r="H146" s="66">
        <v>0</v>
      </c>
      <c r="I146" s="117">
        <v>0</v>
      </c>
      <c r="J146" s="66">
        <v>0</v>
      </c>
      <c r="K146" s="66">
        <v>0</v>
      </c>
      <c r="L146" s="66">
        <v>0</v>
      </c>
      <c r="M146" s="66">
        <v>0</v>
      </c>
      <c r="N146" s="66">
        <v>0</v>
      </c>
      <c r="O146" s="66">
        <v>0</v>
      </c>
      <c r="P146" s="66">
        <v>0</v>
      </c>
      <c r="Q146" s="127">
        <v>300</v>
      </c>
      <c r="R146" s="127">
        <v>300</v>
      </c>
      <c r="S146" s="128">
        <f>3000/V131</f>
        <v>398.16842524387812</v>
      </c>
      <c r="T146" s="176">
        <f>1031.25/V131</f>
        <v>136.8703961775831</v>
      </c>
    </row>
    <row r="147" spans="1:65" s="31" customFormat="1" x14ac:dyDescent="0.3">
      <c r="A147" s="97">
        <v>32955</v>
      </c>
      <c r="B147" s="102" t="s">
        <v>146</v>
      </c>
      <c r="C147" s="127">
        <v>3700</v>
      </c>
      <c r="D147" s="66">
        <v>0</v>
      </c>
      <c r="E147" s="66">
        <v>0</v>
      </c>
      <c r="F147" s="66">
        <v>0</v>
      </c>
      <c r="G147" s="122">
        <v>0</v>
      </c>
      <c r="H147" s="66">
        <v>0</v>
      </c>
      <c r="I147" s="117">
        <v>3700</v>
      </c>
      <c r="J147" s="66">
        <v>0</v>
      </c>
      <c r="K147" s="66">
        <v>0</v>
      </c>
      <c r="L147" s="66">
        <v>0</v>
      </c>
      <c r="M147" s="66">
        <v>0</v>
      </c>
      <c r="N147" s="66">
        <v>0</v>
      </c>
      <c r="O147" s="66">
        <v>0</v>
      </c>
      <c r="P147" s="66">
        <v>0</v>
      </c>
      <c r="Q147" s="127">
        <v>3700</v>
      </c>
      <c r="R147" s="127">
        <v>3700</v>
      </c>
      <c r="S147" s="128">
        <f>20000/V131</f>
        <v>2654.4561682925209</v>
      </c>
      <c r="T147" s="176">
        <f>11250/V131</f>
        <v>1493.1315946645429</v>
      </c>
    </row>
    <row r="148" spans="1:65" s="31" customFormat="1" x14ac:dyDescent="0.3">
      <c r="A148" s="97">
        <v>32959</v>
      </c>
      <c r="B148" s="102" t="s">
        <v>161</v>
      </c>
      <c r="C148" s="127">
        <v>300</v>
      </c>
      <c r="D148" s="66">
        <v>0</v>
      </c>
      <c r="E148" s="66">
        <v>0</v>
      </c>
      <c r="F148" s="66">
        <v>0</v>
      </c>
      <c r="G148" s="122">
        <v>300</v>
      </c>
      <c r="H148" s="66">
        <v>0</v>
      </c>
      <c r="I148" s="117">
        <v>0</v>
      </c>
      <c r="J148" s="66">
        <v>0</v>
      </c>
      <c r="K148" s="66">
        <v>0</v>
      </c>
      <c r="L148" s="66">
        <v>0</v>
      </c>
      <c r="M148" s="66">
        <v>0</v>
      </c>
      <c r="N148" s="66">
        <v>0</v>
      </c>
      <c r="O148" s="66">
        <v>0</v>
      </c>
      <c r="P148" s="66">
        <v>0</v>
      </c>
      <c r="Q148" s="127">
        <v>300</v>
      </c>
      <c r="R148" s="127">
        <v>300</v>
      </c>
      <c r="S148" s="128">
        <f>3000/V131</f>
        <v>398.16842524387812</v>
      </c>
      <c r="T148" s="176">
        <f>402.55/V131</f>
        <v>53.427566527307718</v>
      </c>
    </row>
    <row r="149" spans="1:65" s="36" customFormat="1" x14ac:dyDescent="0.3">
      <c r="A149" s="95">
        <v>3296</v>
      </c>
      <c r="B149" s="45" t="s">
        <v>162</v>
      </c>
      <c r="C149" s="126">
        <v>200</v>
      </c>
      <c r="D149" s="64">
        <v>0</v>
      </c>
      <c r="E149" s="64">
        <v>0</v>
      </c>
      <c r="F149" s="64">
        <v>0</v>
      </c>
      <c r="G149" s="120">
        <f>G150</f>
        <v>200</v>
      </c>
      <c r="H149" s="64">
        <v>0</v>
      </c>
      <c r="I149" s="116">
        <v>0</v>
      </c>
      <c r="J149" s="64">
        <v>0</v>
      </c>
      <c r="K149" s="64">
        <v>0</v>
      </c>
      <c r="L149" s="64">
        <v>0</v>
      </c>
      <c r="M149" s="64">
        <v>0</v>
      </c>
      <c r="N149" s="64">
        <v>0</v>
      </c>
      <c r="O149" s="64">
        <v>0</v>
      </c>
      <c r="P149" s="64">
        <v>0</v>
      </c>
      <c r="Q149" s="126">
        <v>200</v>
      </c>
      <c r="R149" s="126">
        <v>200</v>
      </c>
      <c r="S149" s="192">
        <f>20000/V131</f>
        <v>2654.4561682925209</v>
      </c>
      <c r="T149" s="198">
        <f>13125/V131</f>
        <v>1741.9868604419669</v>
      </c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31"/>
      <c r="AL149" s="31"/>
      <c r="AM149" s="31"/>
      <c r="AN149" s="31"/>
      <c r="AO149" s="31"/>
      <c r="AP149" s="31"/>
      <c r="AQ149" s="31"/>
      <c r="AR149" s="31"/>
      <c r="AS149" s="31"/>
      <c r="AT149" s="31"/>
      <c r="AU149" s="31"/>
      <c r="AV149" s="31"/>
      <c r="AW149" s="31"/>
      <c r="AX149" s="31"/>
      <c r="AY149" s="31"/>
      <c r="AZ149" s="31"/>
      <c r="BA149" s="31"/>
      <c r="BB149" s="31"/>
      <c r="BC149" s="31"/>
      <c r="BD149" s="31"/>
      <c r="BE149" s="31"/>
      <c r="BF149" s="31"/>
      <c r="BG149" s="31"/>
      <c r="BH149" s="31"/>
      <c r="BI149" s="31"/>
      <c r="BJ149" s="31"/>
      <c r="BK149" s="31"/>
      <c r="BL149" s="31"/>
      <c r="BM149" s="31"/>
    </row>
    <row r="150" spans="1:65" s="31" customFormat="1" ht="17.25" customHeight="1" x14ac:dyDescent="0.3">
      <c r="A150" s="97">
        <v>32961</v>
      </c>
      <c r="B150" s="102" t="s">
        <v>162</v>
      </c>
      <c r="C150" s="127">
        <v>200</v>
      </c>
      <c r="D150" s="66">
        <v>0</v>
      </c>
      <c r="E150" s="66">
        <v>0</v>
      </c>
      <c r="F150" s="66">
        <v>0</v>
      </c>
      <c r="G150" s="122">
        <v>200</v>
      </c>
      <c r="H150" s="66">
        <v>0</v>
      </c>
      <c r="I150" s="117">
        <v>0</v>
      </c>
      <c r="J150" s="66">
        <v>0</v>
      </c>
      <c r="K150" s="66">
        <v>0</v>
      </c>
      <c r="L150" s="66">
        <v>0</v>
      </c>
      <c r="M150" s="66">
        <v>0</v>
      </c>
      <c r="N150" s="66">
        <v>0</v>
      </c>
      <c r="O150" s="66">
        <v>0</v>
      </c>
      <c r="P150" s="66">
        <v>0</v>
      </c>
      <c r="Q150" s="127">
        <v>200</v>
      </c>
      <c r="R150" s="127">
        <v>200</v>
      </c>
      <c r="S150" s="128">
        <f>20000/V131</f>
        <v>2654.4561682925209</v>
      </c>
      <c r="T150" s="176">
        <f>13125/V131</f>
        <v>1741.9868604419669</v>
      </c>
    </row>
    <row r="151" spans="1:65" s="36" customFormat="1" ht="36.75" x14ac:dyDescent="0.3">
      <c r="A151" s="95">
        <v>3299</v>
      </c>
      <c r="B151" s="38" t="s">
        <v>2</v>
      </c>
      <c r="C151" s="126">
        <v>500</v>
      </c>
      <c r="D151" s="64">
        <v>0</v>
      </c>
      <c r="E151" s="64">
        <v>0</v>
      </c>
      <c r="F151" s="64">
        <v>0</v>
      </c>
      <c r="G151" s="120">
        <f>G152+G153</f>
        <v>500</v>
      </c>
      <c r="H151" s="64">
        <v>0</v>
      </c>
      <c r="I151" s="116">
        <v>0</v>
      </c>
      <c r="J151" s="64">
        <v>0</v>
      </c>
      <c r="K151" s="64">
        <v>0</v>
      </c>
      <c r="L151" s="64">
        <v>0</v>
      </c>
      <c r="M151" s="64">
        <v>0</v>
      </c>
      <c r="N151" s="64">
        <v>0</v>
      </c>
      <c r="O151" s="64">
        <v>0</v>
      </c>
      <c r="P151" s="64">
        <v>0</v>
      </c>
      <c r="Q151" s="126">
        <v>500</v>
      </c>
      <c r="R151" s="126">
        <v>500</v>
      </c>
      <c r="S151" s="192">
        <f>10000/V131</f>
        <v>1327.2280841462605</v>
      </c>
      <c r="T151" s="198">
        <f>1353.13/V131</f>
        <v>179.59121375008294</v>
      </c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1"/>
      <c r="AL151" s="31"/>
      <c r="AM151" s="31"/>
      <c r="AN151" s="31"/>
      <c r="AO151" s="31"/>
      <c r="AP151" s="31"/>
      <c r="AQ151" s="31"/>
      <c r="AR151" s="31"/>
      <c r="AS151" s="31"/>
      <c r="AT151" s="31"/>
      <c r="AU151" s="31"/>
      <c r="AV151" s="31"/>
      <c r="AW151" s="31"/>
      <c r="AX151" s="31"/>
      <c r="AY151" s="31"/>
      <c r="AZ151" s="31"/>
      <c r="BA151" s="31"/>
      <c r="BB151" s="31"/>
      <c r="BC151" s="31"/>
      <c r="BD151" s="31"/>
      <c r="BE151" s="31"/>
      <c r="BF151" s="31"/>
      <c r="BG151" s="31"/>
      <c r="BH151" s="31"/>
      <c r="BI151" s="31"/>
      <c r="BJ151" s="31"/>
      <c r="BK151" s="31"/>
      <c r="BL151" s="31"/>
      <c r="BM151" s="31"/>
    </row>
    <row r="152" spans="1:65" ht="54.75" x14ac:dyDescent="0.3">
      <c r="A152" s="96">
        <v>32991</v>
      </c>
      <c r="B152" s="40" t="s">
        <v>120</v>
      </c>
      <c r="C152" s="127">
        <v>0</v>
      </c>
      <c r="D152" s="67">
        <v>0</v>
      </c>
      <c r="E152" s="67">
        <v>0</v>
      </c>
      <c r="F152" s="67">
        <v>0</v>
      </c>
      <c r="G152" s="121">
        <v>0</v>
      </c>
      <c r="H152" s="67">
        <v>0</v>
      </c>
      <c r="I152" s="67">
        <v>0</v>
      </c>
      <c r="J152" s="67">
        <v>0</v>
      </c>
      <c r="K152" s="67">
        <v>0</v>
      </c>
      <c r="L152" s="67">
        <v>0</v>
      </c>
      <c r="M152" s="67">
        <v>0</v>
      </c>
      <c r="N152" s="67">
        <v>0</v>
      </c>
      <c r="O152" s="67">
        <v>0</v>
      </c>
      <c r="P152" s="67">
        <v>0</v>
      </c>
      <c r="Q152" s="127">
        <v>0</v>
      </c>
      <c r="R152" s="127">
        <v>0</v>
      </c>
      <c r="S152" s="128">
        <f>5000/V131</f>
        <v>663.61404207313024</v>
      </c>
      <c r="T152" s="176">
        <v>0</v>
      </c>
    </row>
    <row r="153" spans="1:65" ht="37.5" thickBot="1" x14ac:dyDescent="0.35">
      <c r="A153" s="94">
        <v>32999</v>
      </c>
      <c r="B153" s="231" t="s">
        <v>2</v>
      </c>
      <c r="C153" s="125">
        <v>500</v>
      </c>
      <c r="D153" s="68">
        <v>0</v>
      </c>
      <c r="E153" s="68">
        <v>0</v>
      </c>
      <c r="F153" s="68">
        <v>0</v>
      </c>
      <c r="G153" s="123">
        <v>500</v>
      </c>
      <c r="H153" s="68">
        <v>0</v>
      </c>
      <c r="I153" s="68">
        <v>0</v>
      </c>
      <c r="J153" s="68">
        <v>0</v>
      </c>
      <c r="K153" s="68">
        <v>0</v>
      </c>
      <c r="L153" s="68">
        <v>0</v>
      </c>
      <c r="M153" s="68">
        <v>0</v>
      </c>
      <c r="N153" s="68">
        <v>0</v>
      </c>
      <c r="O153" s="68">
        <v>0</v>
      </c>
      <c r="P153" s="68">
        <v>0</v>
      </c>
      <c r="Q153" s="125">
        <v>500</v>
      </c>
      <c r="R153" s="125">
        <v>500</v>
      </c>
      <c r="S153" s="190">
        <f>5000/V131</f>
        <v>663.61404207313024</v>
      </c>
      <c r="T153" s="217">
        <f>1353.13/V131</f>
        <v>179.59121375008294</v>
      </c>
    </row>
    <row r="154" spans="1:65" ht="19.5" thickBot="1" x14ac:dyDescent="0.35">
      <c r="A154" s="69">
        <v>34</v>
      </c>
      <c r="B154" s="70" t="s">
        <v>5</v>
      </c>
      <c r="C154" s="182">
        <v>1170</v>
      </c>
      <c r="D154" s="71">
        <v>0</v>
      </c>
      <c r="E154" s="71">
        <v>0</v>
      </c>
      <c r="F154" s="71">
        <v>0</v>
      </c>
      <c r="G154" s="183">
        <f>G155</f>
        <v>1170</v>
      </c>
      <c r="H154" s="71">
        <v>0</v>
      </c>
      <c r="I154" s="119">
        <v>0</v>
      </c>
      <c r="J154" s="71">
        <v>0</v>
      </c>
      <c r="K154" s="71">
        <v>0</v>
      </c>
      <c r="L154" s="71">
        <v>0</v>
      </c>
      <c r="M154" s="71">
        <v>0</v>
      </c>
      <c r="N154" s="71">
        <v>0</v>
      </c>
      <c r="O154" s="71">
        <v>0</v>
      </c>
      <c r="P154" s="71">
        <v>0</v>
      </c>
      <c r="Q154" s="182">
        <v>1170</v>
      </c>
      <c r="R154" s="182">
        <v>1170</v>
      </c>
      <c r="S154" s="182">
        <f>28300/V131</f>
        <v>3756.0554781339169</v>
      </c>
      <c r="T154" s="184">
        <f>11344.64/V131</f>
        <v>1505.6924812529032</v>
      </c>
    </row>
    <row r="155" spans="1:65" s="32" customFormat="1" ht="19.5" thickBot="1" x14ac:dyDescent="0.35">
      <c r="A155" s="69">
        <v>343</v>
      </c>
      <c r="B155" s="70" t="s">
        <v>6</v>
      </c>
      <c r="C155" s="182">
        <v>1170</v>
      </c>
      <c r="D155" s="71">
        <v>0</v>
      </c>
      <c r="E155" s="71">
        <v>0</v>
      </c>
      <c r="F155" s="71">
        <v>0</v>
      </c>
      <c r="G155" s="183">
        <f>G156+G159+G160</f>
        <v>1170</v>
      </c>
      <c r="H155" s="71">
        <v>0</v>
      </c>
      <c r="I155" s="119">
        <v>0</v>
      </c>
      <c r="J155" s="71">
        <v>0</v>
      </c>
      <c r="K155" s="71">
        <v>0</v>
      </c>
      <c r="L155" s="71">
        <v>0</v>
      </c>
      <c r="M155" s="71">
        <v>0</v>
      </c>
      <c r="N155" s="71">
        <v>0</v>
      </c>
      <c r="O155" s="71">
        <v>0</v>
      </c>
      <c r="P155" s="71">
        <v>0</v>
      </c>
      <c r="Q155" s="182">
        <v>1170</v>
      </c>
      <c r="R155" s="182">
        <v>1170</v>
      </c>
      <c r="S155" s="182">
        <f>28300/V131</f>
        <v>3756.0554781339169</v>
      </c>
      <c r="T155" s="184">
        <f>11344.64/V131</f>
        <v>1505.6924812529032</v>
      </c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F155" s="33"/>
      <c r="AG155" s="33"/>
      <c r="AH155" s="33"/>
      <c r="AI155" s="33"/>
      <c r="AJ155" s="33"/>
      <c r="AK155" s="33"/>
      <c r="AL155" s="33"/>
      <c r="AM155" s="33"/>
      <c r="AN155" s="33"/>
      <c r="AO155" s="33"/>
      <c r="AP155" s="33"/>
      <c r="AQ155" s="33"/>
      <c r="AR155" s="33"/>
      <c r="AS155" s="33"/>
      <c r="AT155" s="33"/>
      <c r="AU155" s="33"/>
      <c r="AV155" s="33"/>
      <c r="AW155" s="33"/>
      <c r="AX155" s="33"/>
      <c r="AY155" s="33"/>
      <c r="AZ155" s="33"/>
      <c r="BA155" s="33"/>
      <c r="BB155" s="33"/>
      <c r="BC155" s="33"/>
      <c r="BD155" s="33"/>
      <c r="BE155" s="33"/>
      <c r="BF155" s="33"/>
      <c r="BG155" s="33"/>
      <c r="BH155" s="33"/>
      <c r="BI155" s="33"/>
      <c r="BJ155" s="33"/>
      <c r="BK155" s="33"/>
      <c r="BL155" s="33"/>
      <c r="BM155" s="33"/>
    </row>
    <row r="156" spans="1:65" s="44" customFormat="1" x14ac:dyDescent="0.3">
      <c r="A156" s="222">
        <v>3431</v>
      </c>
      <c r="B156" s="236" t="s">
        <v>47</v>
      </c>
      <c r="C156" s="224">
        <v>1100</v>
      </c>
      <c r="D156" s="234">
        <v>0</v>
      </c>
      <c r="E156" s="234">
        <v>0</v>
      </c>
      <c r="F156" s="234">
        <v>0</v>
      </c>
      <c r="G156" s="228">
        <f>G157+G158</f>
        <v>1100</v>
      </c>
      <c r="H156" s="234">
        <v>0</v>
      </c>
      <c r="I156" s="233">
        <v>0</v>
      </c>
      <c r="J156" s="234">
        <v>0</v>
      </c>
      <c r="K156" s="234">
        <v>0</v>
      </c>
      <c r="L156" s="234">
        <v>0</v>
      </c>
      <c r="M156" s="234">
        <v>0</v>
      </c>
      <c r="N156" s="234">
        <v>0</v>
      </c>
      <c r="O156" s="234">
        <v>0</v>
      </c>
      <c r="P156" s="234">
        <v>0</v>
      </c>
      <c r="Q156" s="224">
        <v>1100</v>
      </c>
      <c r="R156" s="224">
        <v>1100</v>
      </c>
      <c r="S156" s="191">
        <f>8500/V131</f>
        <v>1128.1438715243214</v>
      </c>
      <c r="T156" s="229">
        <f>2916.21/V131</f>
        <v>387.04758112681662</v>
      </c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F156" s="33"/>
      <c r="AG156" s="33"/>
      <c r="AH156" s="33"/>
      <c r="AI156" s="33"/>
      <c r="AJ156" s="33"/>
      <c r="AK156" s="33"/>
      <c r="AL156" s="33"/>
      <c r="AM156" s="33"/>
      <c r="AN156" s="33"/>
      <c r="AO156" s="33"/>
      <c r="AP156" s="33"/>
      <c r="AQ156" s="33"/>
      <c r="AR156" s="33"/>
      <c r="AS156" s="33"/>
      <c r="AT156" s="33"/>
      <c r="AU156" s="33"/>
      <c r="AV156" s="33"/>
      <c r="AW156" s="33"/>
      <c r="AX156" s="33"/>
      <c r="AY156" s="33"/>
      <c r="AZ156" s="33"/>
      <c r="BA156" s="33"/>
      <c r="BB156" s="33"/>
      <c r="BC156" s="33"/>
      <c r="BD156" s="33"/>
      <c r="BE156" s="33"/>
      <c r="BF156" s="33"/>
      <c r="BG156" s="33"/>
      <c r="BH156" s="33"/>
      <c r="BI156" s="33"/>
      <c r="BJ156" s="33"/>
      <c r="BK156" s="33"/>
      <c r="BL156" s="33"/>
      <c r="BM156" s="33"/>
    </row>
    <row r="157" spans="1:65" s="32" customFormat="1" x14ac:dyDescent="0.3">
      <c r="A157" s="96">
        <v>34311</v>
      </c>
      <c r="B157" s="39" t="s">
        <v>119</v>
      </c>
      <c r="C157" s="127">
        <v>1000</v>
      </c>
      <c r="D157" s="67">
        <v>0</v>
      </c>
      <c r="E157" s="67">
        <v>0</v>
      </c>
      <c r="F157" s="67">
        <v>0</v>
      </c>
      <c r="G157" s="121">
        <v>1000</v>
      </c>
      <c r="H157" s="67">
        <v>0</v>
      </c>
      <c r="I157" s="67">
        <v>0</v>
      </c>
      <c r="J157" s="67">
        <v>0</v>
      </c>
      <c r="K157" s="67">
        <v>0</v>
      </c>
      <c r="L157" s="67">
        <v>0</v>
      </c>
      <c r="M157" s="67">
        <v>0</v>
      </c>
      <c r="N157" s="67">
        <v>0</v>
      </c>
      <c r="O157" s="67">
        <v>0</v>
      </c>
      <c r="P157" s="67">
        <v>0</v>
      </c>
      <c r="Q157" s="127">
        <v>1000</v>
      </c>
      <c r="R157" s="127">
        <v>1000</v>
      </c>
      <c r="S157" s="128">
        <f>8000/V131</f>
        <v>1061.7824673170085</v>
      </c>
      <c r="T157" s="176">
        <f>2916.21/V131</f>
        <v>387.04758112681662</v>
      </c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F157" s="33"/>
      <c r="AG157" s="33"/>
      <c r="AH157" s="33"/>
      <c r="AI157" s="33"/>
      <c r="AJ157" s="33"/>
      <c r="AK157" s="33"/>
      <c r="AL157" s="33"/>
      <c r="AM157" s="33"/>
      <c r="AN157" s="33"/>
      <c r="AO157" s="33"/>
      <c r="AP157" s="33"/>
      <c r="AQ157" s="33"/>
      <c r="AR157" s="33"/>
      <c r="AS157" s="33"/>
      <c r="AT157" s="33"/>
      <c r="AU157" s="33"/>
      <c r="AV157" s="33"/>
      <c r="AW157" s="33"/>
      <c r="AX157" s="33"/>
      <c r="AY157" s="33"/>
      <c r="AZ157" s="33"/>
      <c r="BA157" s="33"/>
      <c r="BB157" s="33"/>
      <c r="BC157" s="33"/>
      <c r="BD157" s="33"/>
      <c r="BE157" s="33"/>
      <c r="BF157" s="33"/>
      <c r="BG157" s="33"/>
      <c r="BH157" s="33"/>
      <c r="BI157" s="33"/>
      <c r="BJ157" s="33"/>
      <c r="BK157" s="33"/>
      <c r="BL157" s="33"/>
      <c r="BM157" s="33"/>
    </row>
    <row r="158" spans="1:65" s="32" customFormat="1" x14ac:dyDescent="0.3">
      <c r="A158" s="96">
        <v>34312</v>
      </c>
      <c r="B158" s="39" t="s">
        <v>153</v>
      </c>
      <c r="C158" s="127">
        <v>100</v>
      </c>
      <c r="D158" s="67">
        <v>0</v>
      </c>
      <c r="E158" s="67">
        <v>0</v>
      </c>
      <c r="F158" s="67">
        <v>0</v>
      </c>
      <c r="G158" s="121">
        <v>100</v>
      </c>
      <c r="H158" s="67">
        <v>0</v>
      </c>
      <c r="I158" s="67">
        <v>0</v>
      </c>
      <c r="J158" s="67">
        <v>0</v>
      </c>
      <c r="K158" s="67">
        <v>0</v>
      </c>
      <c r="L158" s="67">
        <v>0</v>
      </c>
      <c r="M158" s="67">
        <v>0</v>
      </c>
      <c r="N158" s="67">
        <v>0</v>
      </c>
      <c r="O158" s="67">
        <v>0</v>
      </c>
      <c r="P158" s="67">
        <v>0</v>
      </c>
      <c r="Q158" s="127">
        <v>100</v>
      </c>
      <c r="R158" s="127">
        <v>100</v>
      </c>
      <c r="S158" s="128">
        <f>500/V131</f>
        <v>66.361404207313029</v>
      </c>
      <c r="T158" s="176">
        <v>0</v>
      </c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F158" s="33"/>
      <c r="AG158" s="33"/>
      <c r="AH158" s="33"/>
      <c r="AI158" s="33"/>
      <c r="AJ158" s="33"/>
      <c r="AK158" s="33"/>
      <c r="AL158" s="33"/>
      <c r="AM158" s="33"/>
      <c r="AN158" s="33"/>
      <c r="AO158" s="33"/>
      <c r="AP158" s="33"/>
      <c r="AQ158" s="33"/>
      <c r="AR158" s="33"/>
      <c r="AS158" s="33"/>
      <c r="AT158" s="33"/>
      <c r="AU158" s="33"/>
      <c r="AV158" s="33"/>
      <c r="AW158" s="33"/>
      <c r="AX158" s="33"/>
      <c r="AY158" s="33"/>
      <c r="AZ158" s="33"/>
      <c r="BA158" s="33"/>
      <c r="BB158" s="33"/>
      <c r="BC158" s="33"/>
      <c r="BD158" s="33"/>
      <c r="BE158" s="33"/>
      <c r="BF158" s="33"/>
      <c r="BG158" s="33"/>
      <c r="BH158" s="33"/>
      <c r="BI158" s="33"/>
      <c r="BJ158" s="33"/>
      <c r="BK158" s="33"/>
      <c r="BL158" s="33"/>
      <c r="BM158" s="33"/>
    </row>
    <row r="159" spans="1:65" s="44" customFormat="1" x14ac:dyDescent="0.3">
      <c r="A159" s="95">
        <v>3432</v>
      </c>
      <c r="B159" s="37" t="s">
        <v>65</v>
      </c>
      <c r="C159" s="126">
        <v>20</v>
      </c>
      <c r="D159" s="64">
        <v>0</v>
      </c>
      <c r="E159" s="64">
        <v>0</v>
      </c>
      <c r="F159" s="64">
        <v>0</v>
      </c>
      <c r="G159" s="120">
        <v>20</v>
      </c>
      <c r="H159" s="64">
        <v>0</v>
      </c>
      <c r="I159" s="116">
        <v>0</v>
      </c>
      <c r="J159" s="64">
        <v>0</v>
      </c>
      <c r="K159" s="64">
        <v>0</v>
      </c>
      <c r="L159" s="64">
        <v>0</v>
      </c>
      <c r="M159" s="64">
        <v>0</v>
      </c>
      <c r="N159" s="64">
        <v>0</v>
      </c>
      <c r="O159" s="64">
        <v>0</v>
      </c>
      <c r="P159" s="64">
        <v>0</v>
      </c>
      <c r="Q159" s="126">
        <v>20</v>
      </c>
      <c r="R159" s="126">
        <v>20</v>
      </c>
      <c r="S159" s="192">
        <f>500/V131</f>
        <v>66.361404207313029</v>
      </c>
      <c r="T159" s="198">
        <f>26.65/V131</f>
        <v>3.537062844249784</v>
      </c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F159" s="33"/>
      <c r="AG159" s="33"/>
      <c r="AH159" s="33"/>
      <c r="AI159" s="33"/>
      <c r="AJ159" s="33"/>
      <c r="AK159" s="33"/>
      <c r="AL159" s="33"/>
      <c r="AM159" s="33"/>
      <c r="AN159" s="33"/>
      <c r="AO159" s="33"/>
      <c r="AP159" s="33"/>
      <c r="AQ159" s="33"/>
      <c r="AR159" s="33"/>
      <c r="AS159" s="33"/>
      <c r="AT159" s="33"/>
      <c r="AU159" s="33"/>
      <c r="AV159" s="33"/>
      <c r="AW159" s="33"/>
      <c r="AX159" s="33"/>
      <c r="AY159" s="33"/>
      <c r="AZ159" s="33"/>
      <c r="BA159" s="33"/>
      <c r="BB159" s="33"/>
      <c r="BC159" s="33"/>
      <c r="BD159" s="33"/>
      <c r="BE159" s="33"/>
      <c r="BF159" s="33"/>
      <c r="BG159" s="33"/>
      <c r="BH159" s="33"/>
      <c r="BI159" s="33"/>
      <c r="BJ159" s="33"/>
      <c r="BK159" s="33"/>
      <c r="BL159" s="33"/>
      <c r="BM159" s="33"/>
    </row>
    <row r="160" spans="1:65" s="44" customFormat="1" x14ac:dyDescent="0.3">
      <c r="A160" s="95">
        <v>3433</v>
      </c>
      <c r="B160" s="37" t="s">
        <v>53</v>
      </c>
      <c r="C160" s="126">
        <v>50</v>
      </c>
      <c r="D160" s="64">
        <v>0</v>
      </c>
      <c r="E160" s="64">
        <v>0</v>
      </c>
      <c r="F160" s="64">
        <v>0</v>
      </c>
      <c r="G160" s="120">
        <f>G163</f>
        <v>50</v>
      </c>
      <c r="H160" s="64">
        <v>0</v>
      </c>
      <c r="I160" s="116">
        <v>0</v>
      </c>
      <c r="J160" s="64">
        <v>0</v>
      </c>
      <c r="K160" s="64">
        <v>0</v>
      </c>
      <c r="L160" s="64">
        <v>0</v>
      </c>
      <c r="M160" s="64">
        <v>0</v>
      </c>
      <c r="N160" s="64">
        <v>0</v>
      </c>
      <c r="O160" s="64">
        <v>0</v>
      </c>
      <c r="P160" s="64">
        <v>0</v>
      </c>
      <c r="Q160" s="126">
        <v>50</v>
      </c>
      <c r="R160" s="126">
        <v>50</v>
      </c>
      <c r="S160" s="192">
        <f>19300/V131</f>
        <v>2561.5502024022826</v>
      </c>
      <c r="T160" s="198">
        <f>8401.78/V131</f>
        <v>1115.107837281837</v>
      </c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F160" s="33"/>
      <c r="AG160" s="33"/>
      <c r="AH160" s="33"/>
      <c r="AI160" s="33"/>
      <c r="AJ160" s="33"/>
      <c r="AK160" s="33"/>
      <c r="AL160" s="33"/>
      <c r="AM160" s="33"/>
      <c r="AN160" s="33"/>
      <c r="AO160" s="33"/>
      <c r="AP160" s="33"/>
      <c r="AQ160" s="33"/>
      <c r="AR160" s="33"/>
      <c r="AS160" s="33"/>
      <c r="AT160" s="33"/>
      <c r="AU160" s="33"/>
      <c r="AV160" s="33"/>
      <c r="AW160" s="33"/>
      <c r="AX160" s="33"/>
      <c r="AY160" s="33"/>
      <c r="AZ160" s="33"/>
      <c r="BA160" s="33"/>
      <c r="BB160" s="33"/>
      <c r="BC160" s="33"/>
      <c r="BD160" s="33"/>
      <c r="BE160" s="33"/>
      <c r="BF160" s="33"/>
      <c r="BG160" s="33"/>
      <c r="BH160" s="33"/>
      <c r="BI160" s="33"/>
      <c r="BJ160" s="33"/>
      <c r="BK160" s="33"/>
      <c r="BL160" s="33"/>
      <c r="BM160" s="33"/>
    </row>
    <row r="161" spans="1:65" s="33" customFormat="1" x14ac:dyDescent="0.3">
      <c r="A161" s="97">
        <v>34331</v>
      </c>
      <c r="B161" s="41" t="s">
        <v>168</v>
      </c>
      <c r="C161" s="127">
        <v>0</v>
      </c>
      <c r="D161" s="66">
        <v>0</v>
      </c>
      <c r="E161" s="66">
        <v>0</v>
      </c>
      <c r="F161" s="66">
        <v>0</v>
      </c>
      <c r="G161" s="122">
        <v>0</v>
      </c>
      <c r="H161" s="66">
        <v>0</v>
      </c>
      <c r="I161" s="117">
        <v>0</v>
      </c>
      <c r="J161" s="66">
        <v>0</v>
      </c>
      <c r="K161" s="66">
        <v>0</v>
      </c>
      <c r="L161" s="66">
        <v>0</v>
      </c>
      <c r="M161" s="66">
        <v>0</v>
      </c>
      <c r="N161" s="66">
        <v>0</v>
      </c>
      <c r="O161" s="66">
        <v>0</v>
      </c>
      <c r="P161" s="66">
        <v>0</v>
      </c>
      <c r="Q161" s="127">
        <v>0</v>
      </c>
      <c r="R161" s="127">
        <v>0</v>
      </c>
      <c r="S161" s="128">
        <f>1000/V131</f>
        <v>132.72280841462606</v>
      </c>
      <c r="T161" s="176">
        <f>167.13/V131</f>
        <v>22.18196297033645</v>
      </c>
    </row>
    <row r="162" spans="1:65" s="33" customFormat="1" x14ac:dyDescent="0.3">
      <c r="A162" s="97">
        <v>34332</v>
      </c>
      <c r="B162" s="41" t="s">
        <v>169</v>
      </c>
      <c r="C162" s="127">
        <v>0</v>
      </c>
      <c r="D162" s="66">
        <v>0</v>
      </c>
      <c r="E162" s="66">
        <v>0</v>
      </c>
      <c r="F162" s="66">
        <v>0</v>
      </c>
      <c r="G162" s="122">
        <v>0</v>
      </c>
      <c r="H162" s="66">
        <v>0</v>
      </c>
      <c r="I162" s="117">
        <v>0</v>
      </c>
      <c r="J162" s="66">
        <v>0</v>
      </c>
      <c r="K162" s="66">
        <v>0</v>
      </c>
      <c r="L162" s="66">
        <v>0</v>
      </c>
      <c r="M162" s="66">
        <v>0</v>
      </c>
      <c r="N162" s="66">
        <v>0</v>
      </c>
      <c r="O162" s="66">
        <v>0</v>
      </c>
      <c r="P162" s="66">
        <v>0</v>
      </c>
      <c r="Q162" s="127">
        <v>0</v>
      </c>
      <c r="R162" s="127">
        <v>0</v>
      </c>
      <c r="S162" s="128">
        <f>8000/V131</f>
        <v>1061.7824673170085</v>
      </c>
      <c r="T162" s="176">
        <f>2984.45/V131</f>
        <v>396.1045855730307</v>
      </c>
    </row>
    <row r="163" spans="1:65" s="31" customFormat="1" ht="19.5" thickBot="1" x14ac:dyDescent="0.35">
      <c r="A163" s="98">
        <v>34339</v>
      </c>
      <c r="B163" s="46" t="s">
        <v>170</v>
      </c>
      <c r="C163" s="125">
        <v>50</v>
      </c>
      <c r="D163" s="65">
        <v>0</v>
      </c>
      <c r="E163" s="65">
        <v>0</v>
      </c>
      <c r="F163" s="65">
        <v>0</v>
      </c>
      <c r="G163" s="186">
        <v>50</v>
      </c>
      <c r="H163" s="65">
        <v>0</v>
      </c>
      <c r="I163" s="115">
        <v>0</v>
      </c>
      <c r="J163" s="65">
        <v>0</v>
      </c>
      <c r="K163" s="65">
        <v>0</v>
      </c>
      <c r="L163" s="65">
        <v>0</v>
      </c>
      <c r="M163" s="65">
        <v>0</v>
      </c>
      <c r="N163" s="65">
        <v>0</v>
      </c>
      <c r="O163" s="65">
        <v>0</v>
      </c>
      <c r="P163" s="65">
        <v>0</v>
      </c>
      <c r="Q163" s="125">
        <v>50</v>
      </c>
      <c r="R163" s="125">
        <v>50</v>
      </c>
      <c r="S163" s="190">
        <f>10300/V131</f>
        <v>1367.0449266706482</v>
      </c>
      <c r="T163" s="217">
        <f>5250.2/V131</f>
        <v>696.82128873846966</v>
      </c>
    </row>
    <row r="164" spans="1:65" s="31" customFormat="1" ht="37.5" thickBot="1" x14ac:dyDescent="0.35">
      <c r="A164" s="272">
        <v>372</v>
      </c>
      <c r="B164" s="273" t="s">
        <v>171</v>
      </c>
      <c r="C164" s="274">
        <v>800</v>
      </c>
      <c r="D164" s="275">
        <v>0</v>
      </c>
      <c r="E164" s="275">
        <v>0</v>
      </c>
      <c r="F164" s="275">
        <v>0</v>
      </c>
      <c r="G164" s="276">
        <f>G168</f>
        <v>0</v>
      </c>
      <c r="H164" s="275">
        <v>0</v>
      </c>
      <c r="I164" s="277">
        <f>I165</f>
        <v>800</v>
      </c>
      <c r="J164" s="275">
        <v>0</v>
      </c>
      <c r="K164" s="275">
        <v>0</v>
      </c>
      <c r="L164" s="275">
        <v>0</v>
      </c>
      <c r="M164" s="275">
        <v>0</v>
      </c>
      <c r="N164" s="275">
        <v>0</v>
      </c>
      <c r="O164" s="275">
        <v>0</v>
      </c>
      <c r="P164" s="275">
        <v>0</v>
      </c>
      <c r="Q164" s="274">
        <v>800</v>
      </c>
      <c r="R164" s="274">
        <v>800</v>
      </c>
      <c r="S164" s="274">
        <f>2000/V131</f>
        <v>265.44561682925212</v>
      </c>
      <c r="T164" s="278">
        <v>0</v>
      </c>
    </row>
    <row r="165" spans="1:65" s="31" customFormat="1" ht="36.75" x14ac:dyDescent="0.3">
      <c r="A165" s="295">
        <v>3721</v>
      </c>
      <c r="B165" s="296" t="s">
        <v>211</v>
      </c>
      <c r="C165" s="297">
        <v>800</v>
      </c>
      <c r="D165" s="298">
        <v>0</v>
      </c>
      <c r="E165" s="298">
        <v>0</v>
      </c>
      <c r="F165" s="298">
        <v>0</v>
      </c>
      <c r="G165" s="299">
        <v>0</v>
      </c>
      <c r="H165" s="298">
        <v>0</v>
      </c>
      <c r="I165" s="300">
        <f>I166</f>
        <v>800</v>
      </c>
      <c r="J165" s="298">
        <v>0</v>
      </c>
      <c r="K165" s="298">
        <v>0</v>
      </c>
      <c r="L165" s="298">
        <v>0</v>
      </c>
      <c r="M165" s="298">
        <v>0</v>
      </c>
      <c r="N165" s="298">
        <v>0</v>
      </c>
      <c r="O165" s="298">
        <v>0</v>
      </c>
      <c r="P165" s="298">
        <v>0</v>
      </c>
      <c r="Q165" s="297">
        <v>800</v>
      </c>
      <c r="R165" s="297">
        <v>800</v>
      </c>
      <c r="S165" s="297">
        <v>0</v>
      </c>
      <c r="T165" s="301">
        <v>0</v>
      </c>
    </row>
    <row r="166" spans="1:65" s="31" customFormat="1" ht="36.75" x14ac:dyDescent="0.3">
      <c r="A166" s="294">
        <v>37219</v>
      </c>
      <c r="B166" s="42" t="s">
        <v>212</v>
      </c>
      <c r="C166" s="302">
        <v>800</v>
      </c>
      <c r="D166" s="66">
        <v>0</v>
      </c>
      <c r="E166" s="66">
        <v>0</v>
      </c>
      <c r="F166" s="66">
        <v>0</v>
      </c>
      <c r="G166" s="303">
        <v>0</v>
      </c>
      <c r="H166" s="66">
        <v>0</v>
      </c>
      <c r="I166" s="304">
        <v>800</v>
      </c>
      <c r="J166" s="66"/>
      <c r="K166" s="66"/>
      <c r="L166" s="66"/>
      <c r="M166" s="66"/>
      <c r="N166" s="66"/>
      <c r="O166" s="66"/>
      <c r="P166" s="66"/>
      <c r="Q166" s="302">
        <v>800</v>
      </c>
      <c r="R166" s="302">
        <v>800</v>
      </c>
      <c r="S166" s="302">
        <v>0</v>
      </c>
      <c r="T166" s="305">
        <v>0</v>
      </c>
    </row>
    <row r="167" spans="1:65" s="31" customFormat="1" x14ac:dyDescent="0.3">
      <c r="A167" s="95">
        <v>3722</v>
      </c>
      <c r="B167" s="37" t="s">
        <v>172</v>
      </c>
      <c r="C167" s="126">
        <v>0</v>
      </c>
      <c r="D167" s="64">
        <v>0</v>
      </c>
      <c r="E167" s="64">
        <v>0</v>
      </c>
      <c r="F167" s="64">
        <v>0</v>
      </c>
      <c r="G167" s="120">
        <f>G168</f>
        <v>0</v>
      </c>
      <c r="H167" s="64">
        <v>0</v>
      </c>
      <c r="I167" s="116">
        <v>0</v>
      </c>
      <c r="J167" s="64">
        <v>0</v>
      </c>
      <c r="K167" s="64">
        <v>0</v>
      </c>
      <c r="L167" s="64">
        <v>0</v>
      </c>
      <c r="M167" s="64">
        <v>0</v>
      </c>
      <c r="N167" s="64">
        <v>0</v>
      </c>
      <c r="O167" s="64">
        <v>0</v>
      </c>
      <c r="P167" s="64">
        <v>0</v>
      </c>
      <c r="Q167" s="126">
        <v>0</v>
      </c>
      <c r="R167" s="126">
        <v>0</v>
      </c>
      <c r="S167" s="192">
        <f>2000/V131</f>
        <v>265.44561682925212</v>
      </c>
      <c r="T167" s="198">
        <v>0</v>
      </c>
    </row>
    <row r="168" spans="1:65" s="31" customFormat="1" ht="37.5" thickBot="1" x14ac:dyDescent="0.35">
      <c r="A168" s="286">
        <v>37229</v>
      </c>
      <c r="B168" s="287" t="s">
        <v>173</v>
      </c>
      <c r="C168" s="288">
        <v>0</v>
      </c>
      <c r="D168" s="289">
        <v>0</v>
      </c>
      <c r="E168" s="289">
        <v>0</v>
      </c>
      <c r="F168" s="289">
        <v>0</v>
      </c>
      <c r="G168" s="290">
        <v>0</v>
      </c>
      <c r="H168" s="289">
        <v>0</v>
      </c>
      <c r="I168" s="291">
        <v>0</v>
      </c>
      <c r="J168" s="289">
        <v>0</v>
      </c>
      <c r="K168" s="289">
        <v>0</v>
      </c>
      <c r="L168" s="289">
        <v>0</v>
      </c>
      <c r="M168" s="289">
        <v>0</v>
      </c>
      <c r="N168" s="289">
        <v>0</v>
      </c>
      <c r="O168" s="289">
        <v>0</v>
      </c>
      <c r="P168" s="289">
        <v>0</v>
      </c>
      <c r="Q168" s="288">
        <v>0</v>
      </c>
      <c r="R168" s="288">
        <v>0</v>
      </c>
      <c r="S168" s="292">
        <f>2000/V131</f>
        <v>265.44561682925212</v>
      </c>
      <c r="T168" s="293">
        <v>0</v>
      </c>
    </row>
    <row r="169" spans="1:65" ht="19.5" thickBot="1" x14ac:dyDescent="0.35">
      <c r="A169" s="279"/>
      <c r="B169" s="280"/>
      <c r="C169" s="281">
        <v>3400</v>
      </c>
      <c r="D169" s="282">
        <v>0</v>
      </c>
      <c r="E169" s="283">
        <f>E173</f>
        <v>0</v>
      </c>
      <c r="F169" s="282">
        <v>0</v>
      </c>
      <c r="G169" s="284">
        <f>G170+G173</f>
        <v>700</v>
      </c>
      <c r="H169" s="282">
        <v>0</v>
      </c>
      <c r="I169" s="283">
        <f>I173</f>
        <v>700</v>
      </c>
      <c r="J169" s="282">
        <v>0</v>
      </c>
      <c r="K169" s="282">
        <v>0</v>
      </c>
      <c r="L169" s="282">
        <v>0</v>
      </c>
      <c r="M169" s="282">
        <f>M173</f>
        <v>2000</v>
      </c>
      <c r="N169" s="282">
        <v>0</v>
      </c>
      <c r="O169" s="282">
        <v>0</v>
      </c>
      <c r="P169" s="282">
        <v>0</v>
      </c>
      <c r="Q169" s="281">
        <v>3400</v>
      </c>
      <c r="R169" s="281">
        <v>3400</v>
      </c>
      <c r="S169" s="281">
        <f>155000/V131</f>
        <v>20572.035304267036</v>
      </c>
      <c r="T169" s="285">
        <f>97479.72/V131</f>
        <v>12937.78220187139</v>
      </c>
    </row>
    <row r="170" spans="1:65" ht="55.5" thickBot="1" x14ac:dyDescent="0.35">
      <c r="A170" s="69">
        <v>41</v>
      </c>
      <c r="B170" s="181" t="s">
        <v>64</v>
      </c>
      <c r="C170" s="182">
        <v>700</v>
      </c>
      <c r="D170" s="71">
        <v>0</v>
      </c>
      <c r="E170" s="119">
        <v>0</v>
      </c>
      <c r="F170" s="71">
        <v>0</v>
      </c>
      <c r="G170" s="183">
        <f>G171</f>
        <v>700</v>
      </c>
      <c r="H170" s="71">
        <v>0</v>
      </c>
      <c r="I170" s="119">
        <v>0</v>
      </c>
      <c r="J170" s="71">
        <v>0</v>
      </c>
      <c r="K170" s="71">
        <v>0</v>
      </c>
      <c r="L170" s="71">
        <v>0</v>
      </c>
      <c r="M170" s="71">
        <v>0</v>
      </c>
      <c r="N170" s="71">
        <v>0</v>
      </c>
      <c r="O170" s="71">
        <v>0</v>
      </c>
      <c r="P170" s="71">
        <v>0</v>
      </c>
      <c r="Q170" s="182">
        <v>700</v>
      </c>
      <c r="R170" s="182">
        <v>700</v>
      </c>
      <c r="S170" s="182">
        <f>10000/V131</f>
        <v>1327.2280841462605</v>
      </c>
      <c r="T170" s="184">
        <f>6000/V131</f>
        <v>796.33685048775624</v>
      </c>
    </row>
    <row r="171" spans="1:65" ht="19.5" thickBot="1" x14ac:dyDescent="0.35">
      <c r="A171" s="69">
        <v>412</v>
      </c>
      <c r="B171" s="239" t="s">
        <v>62</v>
      </c>
      <c r="C171" s="182">
        <v>700</v>
      </c>
      <c r="D171" s="71">
        <v>0</v>
      </c>
      <c r="E171" s="119">
        <v>0</v>
      </c>
      <c r="F171" s="71">
        <v>0</v>
      </c>
      <c r="G171" s="240">
        <f>G172</f>
        <v>700</v>
      </c>
      <c r="H171" s="71">
        <v>0</v>
      </c>
      <c r="I171" s="119">
        <v>0</v>
      </c>
      <c r="J171" s="71">
        <v>0</v>
      </c>
      <c r="K171" s="71">
        <v>0</v>
      </c>
      <c r="L171" s="71">
        <v>0</v>
      </c>
      <c r="M171" s="71">
        <v>0</v>
      </c>
      <c r="N171" s="71">
        <v>0</v>
      </c>
      <c r="O171" s="71">
        <v>0</v>
      </c>
      <c r="P171" s="71">
        <v>0</v>
      </c>
      <c r="Q171" s="182">
        <v>700</v>
      </c>
      <c r="R171" s="182">
        <v>700</v>
      </c>
      <c r="S171" s="182">
        <f>10000/V131</f>
        <v>1327.2280841462605</v>
      </c>
      <c r="T171" s="184">
        <f>6000/V131</f>
        <v>796.33685048775624</v>
      </c>
    </row>
    <row r="172" spans="1:65" ht="19.5" thickBot="1" x14ac:dyDescent="0.35">
      <c r="A172" s="241">
        <v>4124</v>
      </c>
      <c r="B172" s="242" t="s">
        <v>63</v>
      </c>
      <c r="C172" s="243">
        <v>700</v>
      </c>
      <c r="D172" s="245">
        <v>0</v>
      </c>
      <c r="E172" s="244">
        <v>0</v>
      </c>
      <c r="F172" s="245">
        <v>0</v>
      </c>
      <c r="G172" s="246">
        <v>700</v>
      </c>
      <c r="H172" s="245">
        <v>0</v>
      </c>
      <c r="I172" s="244">
        <v>0</v>
      </c>
      <c r="J172" s="245">
        <v>0</v>
      </c>
      <c r="K172" s="245">
        <v>0</v>
      </c>
      <c r="L172" s="245">
        <v>0</v>
      </c>
      <c r="M172" s="245">
        <v>0</v>
      </c>
      <c r="N172" s="245">
        <v>0</v>
      </c>
      <c r="O172" s="245">
        <v>0</v>
      </c>
      <c r="P172" s="245">
        <v>0</v>
      </c>
      <c r="Q172" s="243">
        <v>700</v>
      </c>
      <c r="R172" s="243">
        <v>700</v>
      </c>
      <c r="S172" s="193">
        <f>10000/V131</f>
        <v>1327.2280841462605</v>
      </c>
      <c r="T172" s="247">
        <f>6000/V131</f>
        <v>796.33685048775624</v>
      </c>
    </row>
    <row r="173" spans="1:65" ht="55.5" thickBot="1" x14ac:dyDescent="0.35">
      <c r="A173" s="69">
        <v>42</v>
      </c>
      <c r="B173" s="248" t="s">
        <v>21</v>
      </c>
      <c r="C173" s="182">
        <v>2700</v>
      </c>
      <c r="D173" s="71">
        <v>0</v>
      </c>
      <c r="E173" s="119">
        <f>E174</f>
        <v>0</v>
      </c>
      <c r="F173" s="71">
        <v>0</v>
      </c>
      <c r="G173" s="183">
        <f>G174+G191</f>
        <v>0</v>
      </c>
      <c r="H173" s="71">
        <v>0</v>
      </c>
      <c r="I173" s="119">
        <f>I191</f>
        <v>700</v>
      </c>
      <c r="J173" s="71">
        <v>0</v>
      </c>
      <c r="K173" s="71">
        <v>0</v>
      </c>
      <c r="L173" s="71">
        <v>0</v>
      </c>
      <c r="M173" s="71">
        <f>M174</f>
        <v>2000</v>
      </c>
      <c r="N173" s="71">
        <v>0</v>
      </c>
      <c r="O173" s="71">
        <v>0</v>
      </c>
      <c r="P173" s="71">
        <v>0</v>
      </c>
      <c r="Q173" s="182">
        <v>2700</v>
      </c>
      <c r="R173" s="182">
        <v>2700</v>
      </c>
      <c r="S173" s="182">
        <f>145000/V131</f>
        <v>19244.807220120776</v>
      </c>
      <c r="T173" s="184">
        <f>91479.72/V131</f>
        <v>12141.445351383634</v>
      </c>
    </row>
    <row r="174" spans="1:65" s="32" customFormat="1" ht="19.5" thickBot="1" x14ac:dyDescent="0.35">
      <c r="A174" s="69">
        <v>422</v>
      </c>
      <c r="B174" s="250" t="s">
        <v>22</v>
      </c>
      <c r="C174" s="182">
        <v>2000</v>
      </c>
      <c r="D174" s="71">
        <v>0</v>
      </c>
      <c r="E174" s="119">
        <f>E187</f>
        <v>0</v>
      </c>
      <c r="F174" s="71">
        <v>0</v>
      </c>
      <c r="G174" s="183">
        <f>G175+G179+G183+G187+G189</f>
        <v>0</v>
      </c>
      <c r="H174" s="71">
        <v>0</v>
      </c>
      <c r="I174" s="119">
        <v>0</v>
      </c>
      <c r="J174" s="71">
        <v>0</v>
      </c>
      <c r="K174" s="71">
        <v>0</v>
      </c>
      <c r="L174" s="71">
        <v>0</v>
      </c>
      <c r="M174" s="71">
        <f>M187</f>
        <v>2000</v>
      </c>
      <c r="N174" s="71">
        <v>0</v>
      </c>
      <c r="O174" s="71">
        <v>0</v>
      </c>
      <c r="P174" s="71">
        <v>0</v>
      </c>
      <c r="Q174" s="182">
        <v>2000</v>
      </c>
      <c r="R174" s="182">
        <v>2000</v>
      </c>
      <c r="S174" s="182">
        <f>127000/V131</f>
        <v>16855.796668657509</v>
      </c>
      <c r="T174" s="184">
        <f>90780.73/V131</f>
        <v>12048.673435529894</v>
      </c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F174" s="33"/>
      <c r="AG174" s="33"/>
      <c r="AH174" s="33"/>
      <c r="AI174" s="33"/>
      <c r="AJ174" s="33"/>
      <c r="AK174" s="33"/>
      <c r="AL174" s="33"/>
      <c r="AM174" s="33"/>
      <c r="AN174" s="33"/>
      <c r="AO174" s="33"/>
      <c r="AP174" s="33"/>
      <c r="AQ174" s="33"/>
      <c r="AR174" s="33"/>
      <c r="AS174" s="33"/>
      <c r="AT174" s="33"/>
      <c r="AU174" s="33"/>
      <c r="AV174" s="33"/>
      <c r="AW174" s="33"/>
      <c r="AX174" s="33"/>
      <c r="AY174" s="33"/>
      <c r="AZ174" s="33"/>
      <c r="BA174" s="33"/>
      <c r="BB174" s="33"/>
      <c r="BC174" s="33"/>
      <c r="BD174" s="33"/>
      <c r="BE174" s="33"/>
      <c r="BF174" s="33"/>
      <c r="BG174" s="33"/>
      <c r="BH174" s="33"/>
      <c r="BI174" s="33"/>
      <c r="BJ174" s="33"/>
      <c r="BK174" s="33"/>
      <c r="BL174" s="33"/>
      <c r="BM174" s="33"/>
    </row>
    <row r="175" spans="1:65" s="36" customFormat="1" x14ac:dyDescent="0.3">
      <c r="A175" s="222">
        <v>4221</v>
      </c>
      <c r="B175" s="249" t="s">
        <v>48</v>
      </c>
      <c r="C175" s="224">
        <v>0</v>
      </c>
      <c r="D175" s="234">
        <v>0</v>
      </c>
      <c r="E175" s="233">
        <v>0</v>
      </c>
      <c r="F175" s="234">
        <v>0</v>
      </c>
      <c r="G175" s="228">
        <f>G176+G177+G178</f>
        <v>0</v>
      </c>
      <c r="H175" s="234">
        <v>0</v>
      </c>
      <c r="I175" s="233">
        <v>0</v>
      </c>
      <c r="J175" s="234">
        <v>0</v>
      </c>
      <c r="K175" s="234">
        <v>0</v>
      </c>
      <c r="L175" s="234">
        <v>0</v>
      </c>
      <c r="M175" s="234">
        <v>0</v>
      </c>
      <c r="N175" s="234">
        <v>0</v>
      </c>
      <c r="O175" s="234">
        <v>0</v>
      </c>
      <c r="P175" s="234">
        <v>0</v>
      </c>
      <c r="Q175" s="224">
        <v>0</v>
      </c>
      <c r="R175" s="224">
        <v>0</v>
      </c>
      <c r="S175" s="191">
        <f>15000/V131</f>
        <v>1990.8421262193906</v>
      </c>
      <c r="T175" s="229">
        <f>5189.75/V131</f>
        <v>688.79819496980554</v>
      </c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1"/>
      <c r="AJ175" s="31"/>
      <c r="AK175" s="31"/>
      <c r="AL175" s="31"/>
      <c r="AM175" s="31"/>
      <c r="AN175" s="31"/>
      <c r="AO175" s="31"/>
      <c r="AP175" s="31"/>
      <c r="AQ175" s="31"/>
      <c r="AR175" s="31"/>
      <c r="AS175" s="31"/>
      <c r="AT175" s="31"/>
      <c r="AU175" s="31"/>
      <c r="AV175" s="31"/>
      <c r="AW175" s="31"/>
      <c r="AX175" s="31"/>
      <c r="AY175" s="31"/>
      <c r="AZ175" s="31"/>
      <c r="BA175" s="31"/>
      <c r="BB175" s="31"/>
      <c r="BC175" s="31"/>
      <c r="BD175" s="31"/>
      <c r="BE175" s="31"/>
      <c r="BF175" s="31"/>
      <c r="BG175" s="31"/>
      <c r="BH175" s="31"/>
      <c r="BI175" s="31"/>
      <c r="BJ175" s="31"/>
      <c r="BK175" s="31"/>
      <c r="BL175" s="31"/>
      <c r="BM175" s="31"/>
    </row>
    <row r="176" spans="1:65" x14ac:dyDescent="0.3">
      <c r="A176" s="103">
        <v>42211</v>
      </c>
      <c r="B176" s="104" t="s">
        <v>123</v>
      </c>
      <c r="C176" s="127">
        <v>0</v>
      </c>
      <c r="D176" s="101">
        <v>0</v>
      </c>
      <c r="E176" s="101">
        <v>0</v>
      </c>
      <c r="F176" s="101">
        <v>0</v>
      </c>
      <c r="G176" s="121">
        <v>0</v>
      </c>
      <c r="H176" s="101">
        <v>0</v>
      </c>
      <c r="I176" s="101">
        <v>0</v>
      </c>
      <c r="J176" s="101">
        <v>0</v>
      </c>
      <c r="K176" s="101">
        <v>0</v>
      </c>
      <c r="L176" s="101">
        <v>0</v>
      </c>
      <c r="M176" s="101">
        <v>0</v>
      </c>
      <c r="N176" s="101">
        <v>0</v>
      </c>
      <c r="O176" s="101">
        <v>0</v>
      </c>
      <c r="P176" s="101">
        <v>0</v>
      </c>
      <c r="Q176" s="127">
        <v>0</v>
      </c>
      <c r="R176" s="127">
        <v>0</v>
      </c>
      <c r="S176" s="128">
        <f>5000/V131</f>
        <v>663.61404207313024</v>
      </c>
      <c r="T176" s="176">
        <f>2498.75/V131</f>
        <v>331.64111752604686</v>
      </c>
    </row>
    <row r="177" spans="1:65" x14ac:dyDescent="0.3">
      <c r="A177" s="103">
        <v>42212</v>
      </c>
      <c r="B177" s="104" t="s">
        <v>141</v>
      </c>
      <c r="C177" s="127">
        <v>0</v>
      </c>
      <c r="D177" s="101">
        <v>0</v>
      </c>
      <c r="E177" s="101">
        <v>0</v>
      </c>
      <c r="F177" s="101">
        <v>0</v>
      </c>
      <c r="G177" s="121">
        <v>0</v>
      </c>
      <c r="H177" s="101">
        <v>0</v>
      </c>
      <c r="I177" s="101">
        <v>0</v>
      </c>
      <c r="J177" s="101">
        <v>0</v>
      </c>
      <c r="K177" s="101">
        <v>0</v>
      </c>
      <c r="L177" s="101">
        <v>0</v>
      </c>
      <c r="M177" s="101">
        <v>0</v>
      </c>
      <c r="N177" s="101">
        <v>0</v>
      </c>
      <c r="O177" s="101">
        <v>0</v>
      </c>
      <c r="P177" s="101">
        <v>0</v>
      </c>
      <c r="Q177" s="127">
        <v>0</v>
      </c>
      <c r="R177" s="127">
        <v>0</v>
      </c>
      <c r="S177" s="128">
        <f>5000/V131</f>
        <v>663.61404207313024</v>
      </c>
      <c r="T177" s="176">
        <f>2691/V131</f>
        <v>357.15707744375868</v>
      </c>
    </row>
    <row r="178" spans="1:65" x14ac:dyDescent="0.3">
      <c r="A178" s="103">
        <v>42219</v>
      </c>
      <c r="B178" s="104" t="s">
        <v>124</v>
      </c>
      <c r="C178" s="127">
        <v>0</v>
      </c>
      <c r="D178" s="101">
        <v>0</v>
      </c>
      <c r="E178" s="101">
        <v>0</v>
      </c>
      <c r="F178" s="101">
        <v>0</v>
      </c>
      <c r="G178" s="121">
        <v>0</v>
      </c>
      <c r="H178" s="101">
        <v>0</v>
      </c>
      <c r="I178" s="101">
        <v>0</v>
      </c>
      <c r="J178" s="101">
        <v>0</v>
      </c>
      <c r="K178" s="101">
        <v>0</v>
      </c>
      <c r="L178" s="101">
        <v>0</v>
      </c>
      <c r="M178" s="101">
        <v>0</v>
      </c>
      <c r="N178" s="101">
        <v>0</v>
      </c>
      <c r="O178" s="101">
        <v>0</v>
      </c>
      <c r="P178" s="101">
        <v>0</v>
      </c>
      <c r="Q178" s="127">
        <v>0</v>
      </c>
      <c r="R178" s="127">
        <v>0</v>
      </c>
      <c r="S178" s="128">
        <f>5000/V131</f>
        <v>663.61404207313024</v>
      </c>
      <c r="T178" s="176">
        <v>0</v>
      </c>
    </row>
    <row r="179" spans="1:65" s="36" customFormat="1" x14ac:dyDescent="0.3">
      <c r="A179" s="95">
        <v>4222</v>
      </c>
      <c r="B179" s="47" t="s">
        <v>49</v>
      </c>
      <c r="C179" s="126">
        <v>0</v>
      </c>
      <c r="D179" s="64">
        <v>0</v>
      </c>
      <c r="E179" s="116">
        <v>0</v>
      </c>
      <c r="F179" s="64">
        <v>0</v>
      </c>
      <c r="G179" s="120">
        <f>G180+G182+G181</f>
        <v>0</v>
      </c>
      <c r="H179" s="64">
        <v>0</v>
      </c>
      <c r="I179" s="116">
        <v>0</v>
      </c>
      <c r="J179" s="64">
        <v>0</v>
      </c>
      <c r="K179" s="64">
        <v>0</v>
      </c>
      <c r="L179" s="64">
        <v>0</v>
      </c>
      <c r="M179" s="64">
        <v>0</v>
      </c>
      <c r="N179" s="64">
        <v>0</v>
      </c>
      <c r="O179" s="64">
        <v>0</v>
      </c>
      <c r="P179" s="64">
        <v>0</v>
      </c>
      <c r="Q179" s="126">
        <v>0</v>
      </c>
      <c r="R179" s="126">
        <v>0</v>
      </c>
      <c r="S179" s="192">
        <f>14000/V131</f>
        <v>1858.1193178047647</v>
      </c>
      <c r="T179" s="198">
        <f>7978.73/V131</f>
        <v>1058.9594531820292</v>
      </c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  <c r="AJ179" s="31"/>
      <c r="AK179" s="31"/>
      <c r="AL179" s="31"/>
      <c r="AM179" s="31"/>
      <c r="AN179" s="31"/>
      <c r="AO179" s="31"/>
      <c r="AP179" s="31"/>
      <c r="AQ179" s="31"/>
      <c r="AR179" s="31"/>
      <c r="AS179" s="31"/>
      <c r="AT179" s="31"/>
      <c r="AU179" s="31"/>
      <c r="AV179" s="31"/>
      <c r="AW179" s="31"/>
      <c r="AX179" s="31"/>
      <c r="AY179" s="31"/>
      <c r="AZ179" s="31"/>
      <c r="BA179" s="31"/>
      <c r="BB179" s="31"/>
      <c r="BC179" s="31"/>
      <c r="BD179" s="31"/>
      <c r="BE179" s="31"/>
      <c r="BF179" s="31"/>
      <c r="BG179" s="31"/>
      <c r="BH179" s="31"/>
      <c r="BI179" s="31"/>
      <c r="BJ179" s="31"/>
      <c r="BK179" s="31"/>
      <c r="BL179" s="31"/>
      <c r="BM179" s="31"/>
    </row>
    <row r="180" spans="1:65" s="31" customFormat="1" x14ac:dyDescent="0.3">
      <c r="A180" s="97">
        <v>42221</v>
      </c>
      <c r="B180" s="48" t="s">
        <v>147</v>
      </c>
      <c r="C180" s="127">
        <v>0</v>
      </c>
      <c r="D180" s="66">
        <v>0</v>
      </c>
      <c r="E180" s="117">
        <v>0</v>
      </c>
      <c r="F180" s="66">
        <v>0</v>
      </c>
      <c r="G180" s="122">
        <v>0</v>
      </c>
      <c r="H180" s="66">
        <v>0</v>
      </c>
      <c r="I180" s="117">
        <v>0</v>
      </c>
      <c r="J180" s="66">
        <v>0</v>
      </c>
      <c r="K180" s="66">
        <v>0</v>
      </c>
      <c r="L180" s="66">
        <v>0</v>
      </c>
      <c r="M180" s="66">
        <v>0</v>
      </c>
      <c r="N180" s="66">
        <v>0</v>
      </c>
      <c r="O180" s="66">
        <v>0</v>
      </c>
      <c r="P180" s="66">
        <v>0</v>
      </c>
      <c r="Q180" s="127">
        <v>0</v>
      </c>
      <c r="R180" s="127">
        <v>0</v>
      </c>
      <c r="S180" s="128">
        <f>5000/V131</f>
        <v>663.61404207313024</v>
      </c>
      <c r="T180" s="176">
        <v>0</v>
      </c>
    </row>
    <row r="181" spans="1:65" s="31" customFormat="1" x14ac:dyDescent="0.3">
      <c r="A181" s="97">
        <v>42222</v>
      </c>
      <c r="B181" s="48" t="s">
        <v>145</v>
      </c>
      <c r="C181" s="127">
        <v>0</v>
      </c>
      <c r="D181" s="66">
        <v>0</v>
      </c>
      <c r="E181" s="117">
        <v>0</v>
      </c>
      <c r="F181" s="66">
        <v>0</v>
      </c>
      <c r="G181" s="121">
        <v>0</v>
      </c>
      <c r="H181" s="66">
        <v>0</v>
      </c>
      <c r="I181" s="117">
        <v>0</v>
      </c>
      <c r="J181" s="66">
        <v>0</v>
      </c>
      <c r="K181" s="66">
        <v>0</v>
      </c>
      <c r="L181" s="66">
        <v>0</v>
      </c>
      <c r="M181" s="66">
        <v>0</v>
      </c>
      <c r="N181" s="66">
        <v>0</v>
      </c>
      <c r="O181" s="66">
        <v>0</v>
      </c>
      <c r="P181" s="66">
        <v>0</v>
      </c>
      <c r="Q181" s="127">
        <v>0</v>
      </c>
      <c r="R181" s="127">
        <v>0</v>
      </c>
      <c r="S181" s="128">
        <f>4000/V131</f>
        <v>530.89123365850423</v>
      </c>
      <c r="T181" s="176">
        <v>0</v>
      </c>
    </row>
    <row r="182" spans="1:65" s="31" customFormat="1" x14ac:dyDescent="0.3">
      <c r="A182" s="97">
        <v>42229</v>
      </c>
      <c r="B182" s="48" t="s">
        <v>148</v>
      </c>
      <c r="C182" s="127">
        <v>0</v>
      </c>
      <c r="D182" s="66">
        <v>0</v>
      </c>
      <c r="E182" s="117">
        <v>0</v>
      </c>
      <c r="F182" s="66">
        <v>0</v>
      </c>
      <c r="G182" s="122">
        <v>0</v>
      </c>
      <c r="H182" s="66">
        <v>0</v>
      </c>
      <c r="I182" s="117">
        <v>0</v>
      </c>
      <c r="J182" s="66">
        <v>0</v>
      </c>
      <c r="K182" s="66">
        <v>0</v>
      </c>
      <c r="L182" s="66">
        <v>0</v>
      </c>
      <c r="M182" s="66">
        <v>0</v>
      </c>
      <c r="N182" s="66">
        <v>0</v>
      </c>
      <c r="O182" s="66">
        <v>0</v>
      </c>
      <c r="P182" s="66">
        <v>0</v>
      </c>
      <c r="Q182" s="127">
        <v>0</v>
      </c>
      <c r="R182" s="127">
        <v>0</v>
      </c>
      <c r="S182" s="128">
        <f>5000/V131</f>
        <v>663.61404207313024</v>
      </c>
      <c r="T182" s="176">
        <f>7978.73/V131</f>
        <v>1058.9594531820292</v>
      </c>
    </row>
    <row r="183" spans="1:65" s="36" customFormat="1" x14ac:dyDescent="0.3">
      <c r="A183" s="95">
        <v>4223</v>
      </c>
      <c r="B183" s="47" t="s">
        <v>56</v>
      </c>
      <c r="C183" s="126">
        <v>0</v>
      </c>
      <c r="D183" s="64">
        <v>0</v>
      </c>
      <c r="E183" s="116">
        <v>0</v>
      </c>
      <c r="F183" s="64">
        <v>0</v>
      </c>
      <c r="G183" s="120">
        <f>G184+G185+G186</f>
        <v>0</v>
      </c>
      <c r="H183" s="64">
        <v>0</v>
      </c>
      <c r="I183" s="116">
        <v>0</v>
      </c>
      <c r="J183" s="64">
        <v>0</v>
      </c>
      <c r="K183" s="64">
        <v>0</v>
      </c>
      <c r="L183" s="64">
        <v>0</v>
      </c>
      <c r="M183" s="64">
        <v>0</v>
      </c>
      <c r="N183" s="64">
        <v>0</v>
      </c>
      <c r="O183" s="64">
        <v>0</v>
      </c>
      <c r="P183" s="64">
        <v>0</v>
      </c>
      <c r="Q183" s="126">
        <v>0</v>
      </c>
      <c r="R183" s="126">
        <v>0</v>
      </c>
      <c r="S183" s="192">
        <f>15000/V131</f>
        <v>1990.8421262193906</v>
      </c>
      <c r="T183" s="198">
        <v>0</v>
      </c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  <c r="AH183" s="31"/>
      <c r="AI183" s="31"/>
      <c r="AJ183" s="31"/>
      <c r="AK183" s="31"/>
      <c r="AL183" s="31"/>
      <c r="AM183" s="31"/>
      <c r="AN183" s="31"/>
      <c r="AO183" s="31"/>
      <c r="AP183" s="31"/>
      <c r="AQ183" s="31"/>
      <c r="AR183" s="31"/>
      <c r="AS183" s="31"/>
      <c r="AT183" s="31"/>
      <c r="AU183" s="31"/>
      <c r="AV183" s="31"/>
      <c r="AW183" s="31"/>
      <c r="AX183" s="31"/>
      <c r="AY183" s="31"/>
      <c r="AZ183" s="31"/>
      <c r="BA183" s="31"/>
      <c r="BB183" s="31"/>
      <c r="BC183" s="31"/>
      <c r="BD183" s="31"/>
      <c r="BE183" s="31"/>
      <c r="BF183" s="31"/>
      <c r="BG183" s="31"/>
      <c r="BH183" s="31"/>
      <c r="BI183" s="31"/>
      <c r="BJ183" s="31"/>
      <c r="BK183" s="31"/>
      <c r="BL183" s="31"/>
      <c r="BM183" s="31"/>
    </row>
    <row r="184" spans="1:65" s="31" customFormat="1" x14ac:dyDescent="0.3">
      <c r="A184" s="97">
        <v>42231</v>
      </c>
      <c r="B184" s="48" t="s">
        <v>142</v>
      </c>
      <c r="C184" s="127">
        <v>0</v>
      </c>
      <c r="D184" s="66">
        <v>0</v>
      </c>
      <c r="E184" s="117">
        <v>0</v>
      </c>
      <c r="F184" s="66">
        <v>0</v>
      </c>
      <c r="G184" s="121">
        <v>0</v>
      </c>
      <c r="H184" s="66">
        <v>0</v>
      </c>
      <c r="I184" s="117">
        <v>0</v>
      </c>
      <c r="J184" s="66">
        <v>0</v>
      </c>
      <c r="K184" s="66">
        <v>0</v>
      </c>
      <c r="L184" s="66">
        <v>0</v>
      </c>
      <c r="M184" s="66">
        <v>0</v>
      </c>
      <c r="N184" s="66">
        <v>0</v>
      </c>
      <c r="O184" s="66">
        <v>0</v>
      </c>
      <c r="P184" s="66">
        <v>0</v>
      </c>
      <c r="Q184" s="127">
        <v>0</v>
      </c>
      <c r="R184" s="127">
        <v>0</v>
      </c>
      <c r="S184" s="128">
        <f>5000/V131</f>
        <v>663.61404207313024</v>
      </c>
      <c r="T184" s="176">
        <v>0</v>
      </c>
    </row>
    <row r="185" spans="1:65" s="31" customFormat="1" x14ac:dyDescent="0.3">
      <c r="A185" s="97">
        <v>42232</v>
      </c>
      <c r="B185" s="48" t="s">
        <v>149</v>
      </c>
      <c r="C185" s="127">
        <v>0</v>
      </c>
      <c r="D185" s="66">
        <v>0</v>
      </c>
      <c r="E185" s="117">
        <v>0</v>
      </c>
      <c r="F185" s="66">
        <v>0</v>
      </c>
      <c r="G185" s="121">
        <v>0</v>
      </c>
      <c r="H185" s="66">
        <v>0</v>
      </c>
      <c r="I185" s="117">
        <v>0</v>
      </c>
      <c r="J185" s="66">
        <v>0</v>
      </c>
      <c r="K185" s="66">
        <v>0</v>
      </c>
      <c r="L185" s="66">
        <v>0</v>
      </c>
      <c r="M185" s="66">
        <v>0</v>
      </c>
      <c r="N185" s="66">
        <v>0</v>
      </c>
      <c r="O185" s="66">
        <v>0</v>
      </c>
      <c r="P185" s="66">
        <v>0</v>
      </c>
      <c r="Q185" s="127">
        <v>0</v>
      </c>
      <c r="R185" s="127">
        <v>0</v>
      </c>
      <c r="S185" s="128">
        <f>5000/V131</f>
        <v>663.61404207313024</v>
      </c>
      <c r="T185" s="176">
        <v>0</v>
      </c>
    </row>
    <row r="186" spans="1:65" x14ac:dyDescent="0.3">
      <c r="A186" s="103">
        <v>42239</v>
      </c>
      <c r="B186" s="104" t="s">
        <v>125</v>
      </c>
      <c r="C186" s="127">
        <v>0</v>
      </c>
      <c r="D186" s="101">
        <v>0</v>
      </c>
      <c r="E186" s="101">
        <v>0</v>
      </c>
      <c r="F186" s="101">
        <v>0</v>
      </c>
      <c r="G186" s="121">
        <v>0</v>
      </c>
      <c r="H186" s="101">
        <v>0</v>
      </c>
      <c r="I186" s="101">
        <v>0</v>
      </c>
      <c r="J186" s="101">
        <v>0</v>
      </c>
      <c r="K186" s="101">
        <v>0</v>
      </c>
      <c r="L186" s="101">
        <v>0</v>
      </c>
      <c r="M186" s="101">
        <v>0</v>
      </c>
      <c r="N186" s="101">
        <v>0</v>
      </c>
      <c r="O186" s="101">
        <v>0</v>
      </c>
      <c r="P186" s="101">
        <v>0</v>
      </c>
      <c r="Q186" s="127">
        <v>0</v>
      </c>
      <c r="R186" s="127">
        <v>0</v>
      </c>
      <c r="S186" s="128">
        <f>5000/V131</f>
        <v>663.61404207313024</v>
      </c>
      <c r="T186" s="176">
        <v>0</v>
      </c>
    </row>
    <row r="187" spans="1:65" s="36" customFormat="1" x14ac:dyDescent="0.3">
      <c r="A187" s="95">
        <v>4226</v>
      </c>
      <c r="B187" s="47" t="s">
        <v>50</v>
      </c>
      <c r="C187" s="126">
        <v>2000</v>
      </c>
      <c r="D187" s="64">
        <v>0</v>
      </c>
      <c r="E187" s="116">
        <v>0</v>
      </c>
      <c r="F187" s="64">
        <v>0</v>
      </c>
      <c r="G187" s="120">
        <f>G188</f>
        <v>0</v>
      </c>
      <c r="H187" s="64">
        <v>0</v>
      </c>
      <c r="I187" s="116">
        <v>0</v>
      </c>
      <c r="J187" s="64">
        <v>0</v>
      </c>
      <c r="K187" s="64">
        <v>0</v>
      </c>
      <c r="L187" s="64">
        <v>0</v>
      </c>
      <c r="M187" s="64">
        <f>M188</f>
        <v>2000</v>
      </c>
      <c r="N187" s="64">
        <v>0</v>
      </c>
      <c r="O187" s="64">
        <v>0</v>
      </c>
      <c r="P187" s="64">
        <v>0</v>
      </c>
      <c r="Q187" s="126">
        <v>2000</v>
      </c>
      <c r="R187" s="126">
        <v>2000</v>
      </c>
      <c r="S187" s="192">
        <f>75000/V131</f>
        <v>9954.2106310969539</v>
      </c>
      <c r="T187" s="198">
        <f>77612.25/V131</f>
        <v>10300.91578737806</v>
      </c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F187" s="31"/>
      <c r="AG187" s="31"/>
      <c r="AH187" s="31"/>
      <c r="AI187" s="31"/>
      <c r="AJ187" s="31"/>
      <c r="AK187" s="31"/>
      <c r="AL187" s="31"/>
      <c r="AM187" s="31"/>
      <c r="AN187" s="31"/>
      <c r="AO187" s="31"/>
      <c r="AP187" s="31"/>
      <c r="AQ187" s="31"/>
      <c r="AR187" s="31"/>
      <c r="AS187" s="31"/>
      <c r="AT187" s="31"/>
      <c r="AU187" s="31"/>
      <c r="AV187" s="31"/>
      <c r="AW187" s="31"/>
      <c r="AX187" s="31"/>
      <c r="AY187" s="31"/>
      <c r="AZ187" s="31"/>
      <c r="BA187" s="31"/>
      <c r="BB187" s="31"/>
      <c r="BC187" s="31"/>
      <c r="BD187" s="31"/>
      <c r="BE187" s="31"/>
      <c r="BF187" s="31"/>
      <c r="BG187" s="31"/>
      <c r="BH187" s="31"/>
      <c r="BI187" s="31"/>
      <c r="BJ187" s="31"/>
      <c r="BK187" s="31"/>
      <c r="BL187" s="31"/>
      <c r="BM187" s="31"/>
    </row>
    <row r="188" spans="1:65" x14ac:dyDescent="0.3">
      <c r="A188" s="103">
        <v>42262</v>
      </c>
      <c r="B188" s="104" t="s">
        <v>126</v>
      </c>
      <c r="C188" s="127">
        <v>2000</v>
      </c>
      <c r="D188" s="101">
        <v>0</v>
      </c>
      <c r="E188" s="101">
        <v>0</v>
      </c>
      <c r="F188" s="101">
        <v>0</v>
      </c>
      <c r="G188" s="121">
        <v>0</v>
      </c>
      <c r="H188" s="101">
        <v>0</v>
      </c>
      <c r="I188" s="101">
        <v>0</v>
      </c>
      <c r="J188" s="101">
        <v>0</v>
      </c>
      <c r="K188" s="101">
        <v>0</v>
      </c>
      <c r="L188" s="101">
        <v>0</v>
      </c>
      <c r="M188" s="101">
        <v>2000</v>
      </c>
      <c r="N188" s="101">
        <v>0</v>
      </c>
      <c r="O188" s="101">
        <v>0</v>
      </c>
      <c r="P188" s="101">
        <v>0</v>
      </c>
      <c r="Q188" s="127">
        <v>2000</v>
      </c>
      <c r="R188" s="127">
        <v>2000</v>
      </c>
      <c r="S188" s="128">
        <f>75000/V131</f>
        <v>9954.2106310969539</v>
      </c>
      <c r="T188" s="176">
        <f>77612.25/V131</f>
        <v>10300.91578737806</v>
      </c>
    </row>
    <row r="189" spans="1:65" s="36" customFormat="1" x14ac:dyDescent="0.3">
      <c r="A189" s="95">
        <v>4227</v>
      </c>
      <c r="B189" s="47" t="s">
        <v>51</v>
      </c>
      <c r="C189" s="126">
        <v>0</v>
      </c>
      <c r="D189" s="64">
        <v>0</v>
      </c>
      <c r="E189" s="116">
        <v>0</v>
      </c>
      <c r="F189" s="64">
        <v>0</v>
      </c>
      <c r="G189" s="120">
        <f>G190</f>
        <v>0</v>
      </c>
      <c r="H189" s="64">
        <v>0</v>
      </c>
      <c r="I189" s="116">
        <v>0</v>
      </c>
      <c r="J189" s="64">
        <v>0</v>
      </c>
      <c r="K189" s="64">
        <v>0</v>
      </c>
      <c r="L189" s="64">
        <v>0</v>
      </c>
      <c r="M189" s="64">
        <v>0</v>
      </c>
      <c r="N189" s="64">
        <v>0</v>
      </c>
      <c r="O189" s="64">
        <v>0</v>
      </c>
      <c r="P189" s="64">
        <v>0</v>
      </c>
      <c r="Q189" s="126">
        <v>0</v>
      </c>
      <c r="R189" s="126">
        <v>0</v>
      </c>
      <c r="S189" s="192">
        <f>8000/V131</f>
        <v>1061.7824673170085</v>
      </c>
      <c r="T189" s="198">
        <v>0</v>
      </c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F189" s="31"/>
      <c r="AG189" s="31"/>
      <c r="AH189" s="31"/>
      <c r="AI189" s="31"/>
      <c r="AJ189" s="31"/>
      <c r="AK189" s="31"/>
      <c r="AL189" s="31"/>
      <c r="AM189" s="31"/>
      <c r="AN189" s="31"/>
      <c r="AO189" s="31"/>
      <c r="AP189" s="31"/>
      <c r="AQ189" s="31"/>
      <c r="AR189" s="31"/>
      <c r="AS189" s="31"/>
      <c r="AT189" s="31"/>
      <c r="AU189" s="31"/>
      <c r="AV189" s="31"/>
      <c r="AW189" s="31"/>
      <c r="AX189" s="31"/>
      <c r="AY189" s="31"/>
      <c r="AZ189" s="31"/>
      <c r="BA189" s="31"/>
      <c r="BB189" s="31"/>
      <c r="BC189" s="31"/>
      <c r="BD189" s="31"/>
      <c r="BE189" s="31"/>
      <c r="BF189" s="31"/>
      <c r="BG189" s="31"/>
      <c r="BH189" s="31"/>
      <c r="BI189" s="31"/>
      <c r="BJ189" s="31"/>
      <c r="BK189" s="31"/>
      <c r="BL189" s="31"/>
      <c r="BM189" s="31"/>
    </row>
    <row r="190" spans="1:65" s="36" customFormat="1" ht="19.5" thickBot="1" x14ac:dyDescent="0.35">
      <c r="A190" s="98">
        <v>42273</v>
      </c>
      <c r="B190" s="251" t="s">
        <v>159</v>
      </c>
      <c r="C190" s="125">
        <v>0</v>
      </c>
      <c r="D190" s="65">
        <v>0</v>
      </c>
      <c r="E190" s="115">
        <v>0</v>
      </c>
      <c r="F190" s="65">
        <v>0</v>
      </c>
      <c r="G190" s="186">
        <v>0</v>
      </c>
      <c r="H190" s="65">
        <v>0</v>
      </c>
      <c r="I190" s="115">
        <v>0</v>
      </c>
      <c r="J190" s="65">
        <v>0</v>
      </c>
      <c r="K190" s="65">
        <v>0</v>
      </c>
      <c r="L190" s="65">
        <v>0</v>
      </c>
      <c r="M190" s="65">
        <v>0</v>
      </c>
      <c r="N190" s="65">
        <v>0</v>
      </c>
      <c r="O190" s="65">
        <v>0</v>
      </c>
      <c r="P190" s="65">
        <v>0</v>
      </c>
      <c r="Q190" s="125">
        <v>0</v>
      </c>
      <c r="R190" s="125">
        <v>0</v>
      </c>
      <c r="S190" s="190">
        <f>8000/V131</f>
        <v>1061.7824673170085</v>
      </c>
      <c r="T190" s="217">
        <v>0</v>
      </c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F190" s="31"/>
      <c r="AG190" s="31"/>
      <c r="AH190" s="31"/>
      <c r="AI190" s="31"/>
      <c r="AJ190" s="31"/>
      <c r="AK190" s="31"/>
      <c r="AL190" s="31"/>
      <c r="AM190" s="31"/>
      <c r="AN190" s="31"/>
      <c r="AO190" s="31"/>
      <c r="AP190" s="31"/>
      <c r="AQ190" s="31"/>
      <c r="AR190" s="31"/>
      <c r="AS190" s="31"/>
      <c r="AT190" s="31"/>
      <c r="AU190" s="31"/>
      <c r="AV190" s="31"/>
      <c r="AW190" s="31"/>
      <c r="AX190" s="31"/>
      <c r="AY190" s="31"/>
      <c r="AZ190" s="31"/>
      <c r="BA190" s="31"/>
      <c r="BB190" s="31"/>
      <c r="BC190" s="31"/>
      <c r="BD190" s="31"/>
      <c r="BE190" s="31"/>
      <c r="BF190" s="31"/>
      <c r="BG190" s="31"/>
      <c r="BH190" s="31"/>
      <c r="BI190" s="31"/>
      <c r="BJ190" s="31"/>
      <c r="BK190" s="31"/>
      <c r="BL190" s="31"/>
      <c r="BM190" s="31"/>
    </row>
    <row r="191" spans="1:65" s="32" customFormat="1" ht="19.5" thickBot="1" x14ac:dyDescent="0.35">
      <c r="A191" s="69">
        <v>424</v>
      </c>
      <c r="B191" s="250" t="s">
        <v>23</v>
      </c>
      <c r="C191" s="182">
        <v>700</v>
      </c>
      <c r="D191" s="71">
        <v>0</v>
      </c>
      <c r="E191" s="119">
        <v>0</v>
      </c>
      <c r="F191" s="71">
        <v>0</v>
      </c>
      <c r="G191" s="183">
        <f>G192</f>
        <v>0</v>
      </c>
      <c r="H191" s="71">
        <v>0</v>
      </c>
      <c r="I191" s="119">
        <f>I192</f>
        <v>700</v>
      </c>
      <c r="J191" s="71">
        <v>0</v>
      </c>
      <c r="K191" s="71">
        <v>0</v>
      </c>
      <c r="L191" s="71">
        <v>0</v>
      </c>
      <c r="M191" s="71">
        <v>0</v>
      </c>
      <c r="N191" s="71">
        <v>0</v>
      </c>
      <c r="O191" s="71">
        <v>0</v>
      </c>
      <c r="P191" s="71">
        <v>0</v>
      </c>
      <c r="Q191" s="182">
        <v>700</v>
      </c>
      <c r="R191" s="182">
        <v>700</v>
      </c>
      <c r="S191" s="182">
        <f>18000/V131</f>
        <v>2389.0105514632687</v>
      </c>
      <c r="T191" s="184">
        <f>698.99/V131</f>
        <v>92.771915853739458</v>
      </c>
      <c r="U191" s="33"/>
      <c r="V191" s="33"/>
      <c r="W191" s="33"/>
      <c r="X191" s="33"/>
      <c r="Y191" s="33"/>
      <c r="Z191" s="33"/>
      <c r="AA191" s="33"/>
      <c r="AB191" s="33"/>
      <c r="AC191" s="33"/>
      <c r="AD191" s="33"/>
      <c r="AE191" s="33"/>
      <c r="AF191" s="33"/>
      <c r="AG191" s="33"/>
      <c r="AH191" s="33"/>
      <c r="AI191" s="33"/>
      <c r="AJ191" s="33"/>
      <c r="AK191" s="33"/>
      <c r="AL191" s="33"/>
      <c r="AM191" s="33"/>
      <c r="AN191" s="33"/>
      <c r="AO191" s="33"/>
      <c r="AP191" s="33"/>
      <c r="AQ191" s="33"/>
      <c r="AR191" s="33"/>
      <c r="AS191" s="33"/>
      <c r="AT191" s="33"/>
      <c r="AU191" s="33"/>
      <c r="AV191" s="33"/>
      <c r="AW191" s="33"/>
      <c r="AX191" s="33"/>
      <c r="AY191" s="33"/>
      <c r="AZ191" s="33"/>
      <c r="BA191" s="33"/>
      <c r="BB191" s="33"/>
      <c r="BC191" s="33"/>
      <c r="BD191" s="33"/>
      <c r="BE191" s="33"/>
      <c r="BF191" s="33"/>
      <c r="BG191" s="33"/>
      <c r="BH191" s="33"/>
      <c r="BI191" s="33"/>
      <c r="BJ191" s="33"/>
      <c r="BK191" s="33"/>
      <c r="BL191" s="33"/>
      <c r="BM191" s="33"/>
    </row>
    <row r="192" spans="1:65" s="44" customFormat="1" x14ac:dyDescent="0.3">
      <c r="A192" s="222">
        <v>4241</v>
      </c>
      <c r="B192" s="249" t="s">
        <v>52</v>
      </c>
      <c r="C192" s="224">
        <v>700</v>
      </c>
      <c r="D192" s="253">
        <v>0</v>
      </c>
      <c r="E192" s="252">
        <v>0</v>
      </c>
      <c r="F192" s="253">
        <v>0</v>
      </c>
      <c r="G192" s="228">
        <f>G193</f>
        <v>0</v>
      </c>
      <c r="H192" s="253">
        <v>0</v>
      </c>
      <c r="I192" s="252">
        <f>I193</f>
        <v>700</v>
      </c>
      <c r="J192" s="253">
        <v>0</v>
      </c>
      <c r="K192" s="253">
        <v>0</v>
      </c>
      <c r="L192" s="253">
        <v>0</v>
      </c>
      <c r="M192" s="253">
        <v>0</v>
      </c>
      <c r="N192" s="253">
        <v>0</v>
      </c>
      <c r="O192" s="253">
        <v>0</v>
      </c>
      <c r="P192" s="253">
        <v>0</v>
      </c>
      <c r="Q192" s="224">
        <v>700</v>
      </c>
      <c r="R192" s="224">
        <v>700</v>
      </c>
      <c r="S192" s="191">
        <f>18000/V131</f>
        <v>2389.0105514632687</v>
      </c>
      <c r="T192" s="229">
        <f>698.99/V131</f>
        <v>92.771915853739458</v>
      </c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F192" s="33"/>
      <c r="AG192" s="33"/>
      <c r="AH192" s="33"/>
      <c r="AI192" s="33"/>
      <c r="AJ192" s="33"/>
      <c r="AK192" s="33"/>
      <c r="AL192" s="33"/>
      <c r="AM192" s="33"/>
      <c r="AN192" s="33"/>
      <c r="AO192" s="33"/>
      <c r="AP192" s="33"/>
      <c r="AQ192" s="33"/>
      <c r="AR192" s="33"/>
      <c r="AS192" s="33"/>
      <c r="AT192" s="33"/>
      <c r="AU192" s="33"/>
      <c r="AV192" s="33"/>
      <c r="AW192" s="33"/>
      <c r="AX192" s="33"/>
      <c r="AY192" s="33"/>
      <c r="AZ192" s="33"/>
      <c r="BA192" s="33"/>
      <c r="BB192" s="33"/>
      <c r="BC192" s="33"/>
      <c r="BD192" s="33"/>
      <c r="BE192" s="33"/>
      <c r="BF192" s="33"/>
      <c r="BG192" s="33"/>
      <c r="BH192" s="33"/>
      <c r="BI192" s="33"/>
      <c r="BJ192" s="33"/>
      <c r="BK192" s="33"/>
      <c r="BL192" s="33"/>
      <c r="BM192" s="33"/>
    </row>
    <row r="193" spans="1:65" s="33" customFormat="1" x14ac:dyDescent="0.3">
      <c r="A193" s="97">
        <v>42411</v>
      </c>
      <c r="B193" s="48" t="s">
        <v>52</v>
      </c>
      <c r="C193" s="128">
        <v>700</v>
      </c>
      <c r="D193" s="66">
        <v>0</v>
      </c>
      <c r="E193" s="117">
        <v>0</v>
      </c>
      <c r="F193" s="66">
        <v>0</v>
      </c>
      <c r="G193" s="121">
        <v>0</v>
      </c>
      <c r="H193" s="66">
        <v>0</v>
      </c>
      <c r="I193" s="117">
        <v>700</v>
      </c>
      <c r="J193" s="66">
        <v>0</v>
      </c>
      <c r="K193" s="66">
        <v>0</v>
      </c>
      <c r="L193" s="66">
        <v>0</v>
      </c>
      <c r="M193" s="66">
        <v>0</v>
      </c>
      <c r="N193" s="66">
        <v>0</v>
      </c>
      <c r="O193" s="66">
        <v>0</v>
      </c>
      <c r="P193" s="66">
        <v>0</v>
      </c>
      <c r="Q193" s="128">
        <v>700</v>
      </c>
      <c r="R193" s="128">
        <v>700</v>
      </c>
      <c r="S193" s="128">
        <f>18000/V131</f>
        <v>2389.0105514632687</v>
      </c>
      <c r="T193" s="176">
        <f>698.99/V131</f>
        <v>92.771915853739458</v>
      </c>
    </row>
    <row r="194" spans="1:65" s="36" customFormat="1" x14ac:dyDescent="0.3">
      <c r="A194" s="95">
        <v>4242</v>
      </c>
      <c r="B194" s="47" t="s">
        <v>68</v>
      </c>
      <c r="C194" s="126">
        <v>0</v>
      </c>
      <c r="D194" s="64">
        <v>0</v>
      </c>
      <c r="E194" s="116">
        <v>0</v>
      </c>
      <c r="F194" s="64">
        <v>0</v>
      </c>
      <c r="G194" s="120">
        <v>0</v>
      </c>
      <c r="H194" s="64">
        <v>0</v>
      </c>
      <c r="I194" s="116">
        <v>0</v>
      </c>
      <c r="J194" s="64">
        <v>0</v>
      </c>
      <c r="K194" s="64">
        <v>0</v>
      </c>
      <c r="L194" s="64">
        <v>0</v>
      </c>
      <c r="M194" s="64">
        <v>0</v>
      </c>
      <c r="N194" s="64">
        <v>0</v>
      </c>
      <c r="O194" s="64">
        <v>0</v>
      </c>
      <c r="P194" s="64">
        <v>0</v>
      </c>
      <c r="Q194" s="126">
        <v>0</v>
      </c>
      <c r="R194" s="126">
        <v>0</v>
      </c>
      <c r="S194" s="192">
        <v>0</v>
      </c>
      <c r="T194" s="198">
        <v>0</v>
      </c>
      <c r="U194" s="31"/>
      <c r="V194" s="31"/>
      <c r="W194" s="31"/>
      <c r="X194" s="31"/>
      <c r="Y194" s="31"/>
      <c r="Z194" s="31"/>
      <c r="AA194" s="31"/>
      <c r="AB194" s="31"/>
      <c r="AC194" s="31"/>
      <c r="AD194" s="31"/>
      <c r="AE194" s="31"/>
      <c r="AF194" s="31"/>
      <c r="AG194" s="31"/>
      <c r="AH194" s="31"/>
      <c r="AI194" s="31"/>
      <c r="AJ194" s="31"/>
      <c r="AK194" s="31"/>
      <c r="AL194" s="31"/>
      <c r="AM194" s="31"/>
      <c r="AN194" s="31"/>
      <c r="AO194" s="31"/>
      <c r="AP194" s="31"/>
      <c r="AQ194" s="31"/>
      <c r="AR194" s="31"/>
      <c r="AS194" s="31"/>
      <c r="AT194" s="31"/>
      <c r="AU194" s="31"/>
      <c r="AV194" s="31"/>
      <c r="AW194" s="31"/>
      <c r="AX194" s="31"/>
      <c r="AY194" s="31"/>
      <c r="AZ194" s="31"/>
      <c r="BA194" s="31"/>
      <c r="BB194" s="31"/>
      <c r="BC194" s="31"/>
      <c r="BD194" s="31"/>
      <c r="BE194" s="31"/>
      <c r="BF194" s="31"/>
      <c r="BG194" s="31"/>
      <c r="BH194" s="31"/>
      <c r="BI194" s="31"/>
      <c r="BJ194" s="31"/>
      <c r="BK194" s="31"/>
      <c r="BL194" s="31"/>
      <c r="BM194" s="31"/>
    </row>
    <row r="195" spans="1:65" ht="19.5" thickBot="1" x14ac:dyDescent="0.35">
      <c r="A195" s="94">
        <v>42421</v>
      </c>
      <c r="B195" s="254" t="s">
        <v>127</v>
      </c>
      <c r="C195" s="125">
        <v>0</v>
      </c>
      <c r="D195" s="68">
        <v>0</v>
      </c>
      <c r="E195" s="68">
        <v>0</v>
      </c>
      <c r="F195" s="68">
        <v>0</v>
      </c>
      <c r="G195" s="123">
        <v>0</v>
      </c>
      <c r="H195" s="68">
        <v>0</v>
      </c>
      <c r="I195" s="68">
        <v>0</v>
      </c>
      <c r="J195" s="68">
        <v>0</v>
      </c>
      <c r="K195" s="68">
        <v>0</v>
      </c>
      <c r="L195" s="68">
        <v>0</v>
      </c>
      <c r="M195" s="68">
        <v>0</v>
      </c>
      <c r="N195" s="68">
        <v>0</v>
      </c>
      <c r="O195" s="68">
        <v>0</v>
      </c>
      <c r="P195" s="68">
        <v>0</v>
      </c>
      <c r="Q195" s="125">
        <v>0</v>
      </c>
      <c r="R195" s="125">
        <v>0</v>
      </c>
      <c r="S195" s="190">
        <v>0</v>
      </c>
      <c r="T195" s="217">
        <v>0</v>
      </c>
    </row>
    <row r="196" spans="1:65" s="32" customFormat="1" ht="19.5" thickBot="1" x14ac:dyDescent="0.35">
      <c r="A196" s="69">
        <v>426</v>
      </c>
      <c r="B196" s="250" t="s">
        <v>28</v>
      </c>
      <c r="C196" s="182">
        <v>0</v>
      </c>
      <c r="D196" s="71">
        <v>0</v>
      </c>
      <c r="E196" s="119">
        <v>0</v>
      </c>
      <c r="F196" s="71">
        <v>0</v>
      </c>
      <c r="G196" s="183">
        <v>0</v>
      </c>
      <c r="H196" s="71">
        <v>0</v>
      </c>
      <c r="I196" s="119">
        <v>0</v>
      </c>
      <c r="J196" s="71">
        <v>0</v>
      </c>
      <c r="K196" s="71">
        <v>0</v>
      </c>
      <c r="L196" s="71">
        <v>0</v>
      </c>
      <c r="M196" s="71">
        <v>0</v>
      </c>
      <c r="N196" s="71">
        <v>0</v>
      </c>
      <c r="O196" s="71">
        <v>0</v>
      </c>
      <c r="P196" s="71">
        <v>0</v>
      </c>
      <c r="Q196" s="182">
        <v>0</v>
      </c>
      <c r="R196" s="182">
        <v>0</v>
      </c>
      <c r="S196" s="182">
        <v>0</v>
      </c>
      <c r="T196" s="184">
        <v>0</v>
      </c>
      <c r="U196" s="33"/>
      <c r="V196" s="33"/>
      <c r="W196" s="33"/>
      <c r="X196" s="33"/>
      <c r="Y196" s="33"/>
      <c r="Z196" s="33"/>
      <c r="AA196" s="33"/>
      <c r="AB196" s="33"/>
      <c r="AC196" s="33"/>
      <c r="AD196" s="33"/>
      <c r="AE196" s="33"/>
      <c r="AF196" s="33"/>
      <c r="AG196" s="33"/>
      <c r="AH196" s="33"/>
      <c r="AI196" s="33"/>
      <c r="AJ196" s="33"/>
      <c r="AK196" s="33"/>
      <c r="AL196" s="33"/>
      <c r="AM196" s="33"/>
      <c r="AN196" s="33"/>
      <c r="AO196" s="33"/>
      <c r="AP196" s="33"/>
      <c r="AQ196" s="33"/>
      <c r="AR196" s="33"/>
      <c r="AS196" s="33"/>
      <c r="AT196" s="33"/>
      <c r="AU196" s="33"/>
      <c r="AV196" s="33"/>
      <c r="AW196" s="33"/>
      <c r="AX196" s="33"/>
      <c r="AY196" s="33"/>
      <c r="AZ196" s="33"/>
      <c r="BA196" s="33"/>
      <c r="BB196" s="33"/>
      <c r="BC196" s="33"/>
      <c r="BD196" s="33"/>
      <c r="BE196" s="33"/>
      <c r="BF196" s="33"/>
      <c r="BG196" s="33"/>
      <c r="BH196" s="33"/>
      <c r="BI196" s="33"/>
      <c r="BJ196" s="33"/>
      <c r="BK196" s="33"/>
      <c r="BL196" s="33"/>
      <c r="BM196" s="33"/>
    </row>
    <row r="197" spans="1:65" s="36" customFormat="1" x14ac:dyDescent="0.3">
      <c r="A197" s="222">
        <v>4262</v>
      </c>
      <c r="B197" s="249" t="s">
        <v>28</v>
      </c>
      <c r="C197" s="224">
        <v>0</v>
      </c>
      <c r="D197" s="234">
        <v>0</v>
      </c>
      <c r="E197" s="233">
        <v>0</v>
      </c>
      <c r="F197" s="234">
        <v>0</v>
      </c>
      <c r="G197" s="228">
        <v>0</v>
      </c>
      <c r="H197" s="234">
        <v>0</v>
      </c>
      <c r="I197" s="233">
        <v>0</v>
      </c>
      <c r="J197" s="234">
        <v>0</v>
      </c>
      <c r="K197" s="234">
        <v>0</v>
      </c>
      <c r="L197" s="234">
        <v>0</v>
      </c>
      <c r="M197" s="234">
        <v>0</v>
      </c>
      <c r="N197" s="234">
        <v>0</v>
      </c>
      <c r="O197" s="234">
        <v>0</v>
      </c>
      <c r="P197" s="234">
        <v>0</v>
      </c>
      <c r="Q197" s="224">
        <v>0</v>
      </c>
      <c r="R197" s="224">
        <v>0</v>
      </c>
      <c r="S197" s="191">
        <v>0</v>
      </c>
      <c r="T197" s="229">
        <v>0</v>
      </c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F197" s="31"/>
      <c r="AG197" s="31"/>
      <c r="AH197" s="31"/>
      <c r="AI197" s="31"/>
      <c r="AJ197" s="31"/>
      <c r="AK197" s="31"/>
      <c r="AL197" s="31"/>
      <c r="AM197" s="31"/>
      <c r="AN197" s="31"/>
      <c r="AO197" s="31"/>
      <c r="AP197" s="31"/>
      <c r="AQ197" s="31"/>
      <c r="AR197" s="31"/>
      <c r="AS197" s="31"/>
      <c r="AT197" s="31"/>
      <c r="AU197" s="31"/>
      <c r="AV197" s="31"/>
      <c r="AW197" s="31"/>
      <c r="AX197" s="31"/>
      <c r="AY197" s="31"/>
      <c r="AZ197" s="31"/>
      <c r="BA197" s="31"/>
      <c r="BB197" s="31"/>
      <c r="BC197" s="31"/>
      <c r="BD197" s="31"/>
      <c r="BE197" s="31"/>
      <c r="BF197" s="31"/>
      <c r="BG197" s="31"/>
      <c r="BH197" s="31"/>
      <c r="BI197" s="31"/>
      <c r="BJ197" s="31"/>
      <c r="BK197" s="31"/>
      <c r="BL197" s="31"/>
      <c r="BM197" s="31"/>
    </row>
    <row r="198" spans="1:65" ht="19.5" thickBot="1" x14ac:dyDescent="0.35">
      <c r="A198" s="94">
        <v>42621</v>
      </c>
      <c r="B198" s="254" t="s">
        <v>28</v>
      </c>
      <c r="C198" s="125">
        <v>0</v>
      </c>
      <c r="D198" s="68">
        <v>0</v>
      </c>
      <c r="E198" s="68">
        <v>0</v>
      </c>
      <c r="F198" s="68">
        <v>0</v>
      </c>
      <c r="G198" s="123">
        <v>0</v>
      </c>
      <c r="H198" s="68">
        <v>0</v>
      </c>
      <c r="I198" s="68">
        <v>0</v>
      </c>
      <c r="J198" s="68">
        <v>0</v>
      </c>
      <c r="K198" s="68">
        <v>0</v>
      </c>
      <c r="L198" s="68">
        <v>0</v>
      </c>
      <c r="M198" s="68">
        <v>0</v>
      </c>
      <c r="N198" s="68">
        <v>0</v>
      </c>
      <c r="O198" s="68">
        <v>0</v>
      </c>
      <c r="P198" s="68">
        <v>0</v>
      </c>
      <c r="Q198" s="125">
        <v>0</v>
      </c>
      <c r="R198" s="125">
        <v>0</v>
      </c>
      <c r="S198" s="190">
        <v>0</v>
      </c>
      <c r="T198" s="217">
        <v>0</v>
      </c>
    </row>
    <row r="199" spans="1:65" ht="19.5" thickBot="1" x14ac:dyDescent="0.35">
      <c r="A199" s="255"/>
      <c r="B199" s="256" t="s">
        <v>25</v>
      </c>
      <c r="C199" s="182">
        <v>1793598</v>
      </c>
      <c r="D199" s="220">
        <f>D22</f>
        <v>90000</v>
      </c>
      <c r="E199" s="119">
        <f>E22</f>
        <v>143270</v>
      </c>
      <c r="F199" s="71">
        <f>F22</f>
        <v>2000</v>
      </c>
      <c r="G199" s="183">
        <f>G22+G169</f>
        <v>116720</v>
      </c>
      <c r="H199" s="71">
        <v>0</v>
      </c>
      <c r="I199" s="119">
        <f>I169+I22</f>
        <v>1428200</v>
      </c>
      <c r="J199" s="119">
        <f>J22</f>
        <v>1348</v>
      </c>
      <c r="K199" s="71">
        <f>K22</f>
        <v>20</v>
      </c>
      <c r="L199" s="71">
        <f>L22</f>
        <v>2000</v>
      </c>
      <c r="M199" s="71">
        <f>M169</f>
        <v>2000</v>
      </c>
      <c r="N199" s="71">
        <v>0</v>
      </c>
      <c r="O199" s="71">
        <f>O22</f>
        <v>7642</v>
      </c>
      <c r="P199" s="71">
        <f>P22</f>
        <v>398</v>
      </c>
      <c r="Q199" s="182">
        <v>1789545</v>
      </c>
      <c r="R199" s="182">
        <v>1783190</v>
      </c>
      <c r="S199" s="182">
        <f>10409730/V131</f>
        <v>1381608.6004379853</v>
      </c>
      <c r="T199" s="184">
        <f>4848068.29/V131</f>
        <v>643449.23883469368</v>
      </c>
    </row>
    <row r="200" spans="1:65" s="31" customFormat="1" ht="14.25" customHeight="1" thickBot="1" x14ac:dyDescent="0.35">
      <c r="A200" s="49"/>
      <c r="B200" s="50"/>
      <c r="C200" s="23"/>
      <c r="D200" s="51"/>
      <c r="E200" s="51"/>
      <c r="F200" s="51"/>
      <c r="G200" s="51"/>
      <c r="H200" s="51"/>
      <c r="I200" s="51"/>
      <c r="J200" s="51"/>
      <c r="K200" s="51"/>
      <c r="L200" s="51"/>
      <c r="M200" s="51"/>
      <c r="N200" s="51"/>
      <c r="O200" s="51"/>
      <c r="P200" s="51"/>
      <c r="Q200" s="51"/>
      <c r="R200" s="51"/>
    </row>
    <row r="201" spans="1:65" s="31" customFormat="1" ht="14.25" customHeight="1" x14ac:dyDescent="0.3">
      <c r="A201" s="368" t="s">
        <v>204</v>
      </c>
      <c r="B201" s="369"/>
      <c r="C201" s="369"/>
      <c r="D201" s="369"/>
      <c r="E201" s="369"/>
      <c r="F201" s="370"/>
      <c r="G201" s="377">
        <v>-12000</v>
      </c>
      <c r="H201" s="51"/>
      <c r="I201" s="51"/>
      <c r="J201" s="51"/>
      <c r="K201" s="51"/>
      <c r="L201" s="51"/>
      <c r="M201" s="51"/>
      <c r="N201" s="51"/>
      <c r="O201" s="51"/>
      <c r="P201" s="51"/>
      <c r="Q201" s="51"/>
      <c r="R201" s="51"/>
    </row>
    <row r="202" spans="1:65" s="31" customFormat="1" ht="14.25" customHeight="1" x14ac:dyDescent="0.3">
      <c r="A202" s="371"/>
      <c r="B202" s="372"/>
      <c r="C202" s="372"/>
      <c r="D202" s="372"/>
      <c r="E202" s="372"/>
      <c r="F202" s="373"/>
      <c r="G202" s="378"/>
      <c r="H202" s="51"/>
      <c r="I202" s="51"/>
      <c r="J202" s="51"/>
      <c r="K202" s="51"/>
      <c r="L202" s="51"/>
      <c r="M202" s="51"/>
      <c r="N202" s="51"/>
      <c r="O202" s="51"/>
      <c r="P202" s="51"/>
      <c r="Q202" s="51"/>
      <c r="R202" s="51"/>
    </row>
    <row r="203" spans="1:65" s="31" customFormat="1" ht="14.25" customHeight="1" thickBot="1" x14ac:dyDescent="0.35">
      <c r="A203" s="374"/>
      <c r="B203" s="375"/>
      <c r="C203" s="375"/>
      <c r="D203" s="375"/>
      <c r="E203" s="375"/>
      <c r="F203" s="376"/>
      <c r="G203" s="379"/>
      <c r="H203" s="51"/>
      <c r="I203" s="51"/>
      <c r="J203" s="51"/>
      <c r="K203" s="51"/>
      <c r="L203" s="51"/>
      <c r="M203" s="51"/>
      <c r="N203" s="51"/>
      <c r="O203" s="51"/>
      <c r="P203" s="51"/>
      <c r="Q203" s="51"/>
      <c r="R203" s="51"/>
    </row>
    <row r="204" spans="1:65" s="31" customFormat="1" ht="14.25" customHeight="1" x14ac:dyDescent="0.3">
      <c r="A204" s="49"/>
      <c r="B204" s="50"/>
      <c r="C204" s="23"/>
      <c r="D204" s="51"/>
      <c r="E204" s="51"/>
      <c r="F204" s="51"/>
      <c r="G204" s="51"/>
      <c r="H204" s="51"/>
      <c r="I204" s="51"/>
      <c r="J204" s="51"/>
      <c r="K204" s="51"/>
      <c r="L204" s="51"/>
      <c r="M204" s="51"/>
      <c r="N204" s="51"/>
      <c r="O204" s="51"/>
      <c r="P204" s="51"/>
      <c r="Q204" s="51"/>
      <c r="R204" s="51"/>
    </row>
    <row r="205" spans="1:65" s="31" customFormat="1" ht="14.25" customHeight="1" x14ac:dyDescent="0.35">
      <c r="A205" s="84"/>
      <c r="B205" s="85"/>
      <c r="C205" s="23"/>
      <c r="D205" s="51"/>
      <c r="E205" s="51"/>
      <c r="F205" s="51"/>
      <c r="G205" s="51"/>
      <c r="H205" s="51"/>
      <c r="I205" s="51"/>
      <c r="J205" s="51"/>
      <c r="K205" s="51"/>
      <c r="L205" s="51"/>
      <c r="M205" s="51"/>
      <c r="N205" s="51"/>
      <c r="O205" s="51"/>
      <c r="P205" s="51"/>
      <c r="Q205" s="51"/>
      <c r="R205" s="51"/>
    </row>
    <row r="206" spans="1:65" x14ac:dyDescent="0.3">
      <c r="A206" s="367" t="s">
        <v>259</v>
      </c>
      <c r="B206" s="367"/>
      <c r="C206" s="347"/>
      <c r="D206" s="348"/>
      <c r="E206" s="349"/>
      <c r="F206" s="364" t="s">
        <v>257</v>
      </c>
      <c r="G206" s="364"/>
      <c r="H206" s="344"/>
      <c r="I206" s="30"/>
      <c r="J206" s="30"/>
      <c r="K206" s="30"/>
      <c r="L206" s="30"/>
      <c r="M206" s="30"/>
    </row>
    <row r="207" spans="1:65" x14ac:dyDescent="0.3">
      <c r="A207" s="352"/>
      <c r="B207" s="353"/>
      <c r="C207" s="347"/>
      <c r="D207" s="52" t="s">
        <v>10</v>
      </c>
      <c r="E207" s="349"/>
      <c r="F207" s="345"/>
      <c r="G207" s="346"/>
      <c r="H207" s="344"/>
      <c r="I207" s="30"/>
      <c r="J207" s="30"/>
      <c r="K207" s="30"/>
      <c r="L207" s="30"/>
      <c r="M207" s="30"/>
      <c r="N207" s="53"/>
      <c r="O207" s="53"/>
      <c r="P207" s="53"/>
      <c r="Q207" s="53"/>
      <c r="R207" s="53"/>
    </row>
    <row r="208" spans="1:65" x14ac:dyDescent="0.3">
      <c r="A208" s="367" t="s">
        <v>156</v>
      </c>
      <c r="B208" s="367"/>
      <c r="C208" s="347"/>
      <c r="D208" s="348"/>
      <c r="E208" s="349"/>
      <c r="F208" s="364" t="s">
        <v>156</v>
      </c>
      <c r="G208" s="364"/>
      <c r="H208" s="344"/>
      <c r="I208" s="30"/>
      <c r="J208" s="30"/>
      <c r="K208" s="30"/>
      <c r="L208" s="30"/>
      <c r="M208" s="30"/>
      <c r="N208" s="53"/>
      <c r="O208" s="53"/>
      <c r="P208" s="53"/>
      <c r="Q208" s="53"/>
      <c r="R208" s="53"/>
    </row>
    <row r="209" spans="1:13" ht="25.5" customHeight="1" x14ac:dyDescent="0.3">
      <c r="A209" s="365" t="s">
        <v>157</v>
      </c>
      <c r="B209" s="365"/>
      <c r="C209" s="350" t="s">
        <v>261</v>
      </c>
      <c r="D209" s="348"/>
      <c r="E209" s="349"/>
      <c r="F209" s="365" t="s">
        <v>258</v>
      </c>
      <c r="G209" s="365"/>
      <c r="H209" s="344"/>
      <c r="I209" s="9"/>
      <c r="J209" s="9"/>
      <c r="K209" s="9"/>
      <c r="L209" s="9"/>
      <c r="M209" s="9"/>
    </row>
    <row r="210" spans="1:13" ht="25.5" customHeight="1" x14ac:dyDescent="0.3">
      <c r="A210" s="365"/>
      <c r="B210" s="365"/>
      <c r="C210" s="351"/>
      <c r="D210" s="348"/>
      <c r="E210" s="349"/>
      <c r="F210" s="365"/>
      <c r="G210" s="365"/>
      <c r="H210" s="344"/>
      <c r="I210" s="9"/>
      <c r="J210" s="9"/>
      <c r="K210" s="9"/>
      <c r="L210" s="9"/>
      <c r="M210" s="9"/>
    </row>
    <row r="211" spans="1:13" ht="26.25" x14ac:dyDescent="0.4">
      <c r="A211" s="86"/>
      <c r="B211" s="87"/>
      <c r="D211" s="54"/>
      <c r="E211" s="54"/>
      <c r="F211" s="344"/>
      <c r="G211" s="344"/>
      <c r="H211" s="344"/>
      <c r="I211" s="7"/>
      <c r="J211" s="7"/>
      <c r="K211" s="7"/>
      <c r="L211" s="7"/>
      <c r="M211" s="7"/>
    </row>
    <row r="212" spans="1:13" ht="26.25" x14ac:dyDescent="0.4">
      <c r="A212" s="88"/>
      <c r="B212" s="89"/>
      <c r="E212" s="28"/>
      <c r="F212" s="344"/>
      <c r="G212" s="344"/>
      <c r="H212" s="344"/>
    </row>
    <row r="213" spans="1:13" x14ac:dyDescent="0.3">
      <c r="E213" s="28"/>
      <c r="F213" s="344"/>
      <c r="G213" s="344"/>
      <c r="H213" s="344"/>
    </row>
  </sheetData>
  <mergeCells count="18">
    <mergeCell ref="F208:G208"/>
    <mergeCell ref="F209:G210"/>
    <mergeCell ref="M12:R12"/>
    <mergeCell ref="A209:B210"/>
    <mergeCell ref="A208:B208"/>
    <mergeCell ref="A206:B206"/>
    <mergeCell ref="A201:F203"/>
    <mergeCell ref="G201:G203"/>
    <mergeCell ref="F206:G206"/>
    <mergeCell ref="Q1:R1"/>
    <mergeCell ref="A1:C1"/>
    <mergeCell ref="M7:R7"/>
    <mergeCell ref="M8:R8"/>
    <mergeCell ref="M11:R11"/>
    <mergeCell ref="B3:G3"/>
    <mergeCell ref="M9:R9"/>
    <mergeCell ref="A6:D6"/>
    <mergeCell ref="A2:T2"/>
  </mergeCells>
  <phoneticPr fontId="5" type="noConversion"/>
  <printOptions horizontalCentered="1"/>
  <pageMargins left="0.74803149606299213" right="0.74803149606299213" top="0.98425196850393704" bottom="0.98425196850393704" header="0.51181102362204722" footer="0.51181102362204722"/>
  <pageSetup paperSize="8" scale="4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DBF45-4C98-4D80-9B8E-891FD941DBC4}">
  <dimension ref="A1:BM213"/>
  <sheetViews>
    <sheetView zoomScale="65" zoomScaleNormal="65" workbookViewId="0">
      <selection activeCell="A2" sqref="A2:T2"/>
    </sheetView>
  </sheetViews>
  <sheetFormatPr defaultColWidth="19.42578125" defaultRowHeight="18.75" x14ac:dyDescent="0.3"/>
  <cols>
    <col min="1" max="1" width="36.28515625" style="25" customWidth="1"/>
    <col min="2" max="2" width="39.85546875" style="26" customWidth="1"/>
    <col min="3" max="3" width="23.140625" style="2" customWidth="1"/>
    <col min="4" max="4" width="23.140625" style="1" customWidth="1"/>
    <col min="5" max="5" width="20" style="1" bestFit="1" customWidth="1"/>
    <col min="6" max="6" width="19.7109375" style="1" bestFit="1" customWidth="1"/>
    <col min="7" max="7" width="19" style="1" customWidth="1"/>
    <col min="8" max="9" width="19.7109375" style="1" bestFit="1" customWidth="1"/>
    <col min="10" max="11" width="19.7109375" style="1" customWidth="1"/>
    <col min="12" max="13" width="19.7109375" style="1" bestFit="1" customWidth="1"/>
    <col min="14" max="16" width="20" style="1" customWidth="1"/>
    <col min="17" max="17" width="19.7109375" style="1" bestFit="1" customWidth="1"/>
    <col min="18" max="18" width="19.5703125" style="1" bestFit="1" customWidth="1"/>
    <col min="19" max="19" width="21.140625" style="31" customWidth="1"/>
    <col min="20" max="20" width="23.140625" style="31" customWidth="1"/>
    <col min="21" max="65" width="19.42578125" style="31"/>
    <col min="66" max="16384" width="19.42578125" style="1"/>
  </cols>
  <sheetData>
    <row r="1" spans="1:20" ht="15.75" customHeight="1" thickBot="1" x14ac:dyDescent="0.35">
      <c r="A1" s="357" t="s">
        <v>66</v>
      </c>
      <c r="B1" s="358"/>
      <c r="C1" s="358"/>
      <c r="Q1" s="355" t="s">
        <v>12</v>
      </c>
      <c r="R1" s="356"/>
      <c r="S1" s="55"/>
    </row>
    <row r="2" spans="1:20" ht="20.25" customHeight="1" x14ac:dyDescent="0.4">
      <c r="A2" s="363" t="s">
        <v>262</v>
      </c>
      <c r="B2" s="363"/>
      <c r="C2" s="363"/>
      <c r="D2" s="363"/>
      <c r="E2" s="363"/>
      <c r="F2" s="363"/>
      <c r="G2" s="363"/>
      <c r="H2" s="363"/>
      <c r="I2" s="363"/>
      <c r="J2" s="363"/>
      <c r="K2" s="363"/>
      <c r="L2" s="363"/>
      <c r="M2" s="363"/>
      <c r="N2" s="363"/>
      <c r="O2" s="363"/>
      <c r="P2" s="363"/>
      <c r="Q2" s="363"/>
      <c r="R2" s="363"/>
      <c r="S2" s="363"/>
      <c r="T2" s="363"/>
    </row>
    <row r="3" spans="1:20" ht="20.25" customHeight="1" x14ac:dyDescent="0.3">
      <c r="A3" s="268"/>
      <c r="B3" s="361"/>
      <c r="C3" s="361"/>
      <c r="D3" s="361"/>
      <c r="E3" s="361"/>
      <c r="F3" s="361"/>
      <c r="G3" s="361"/>
      <c r="H3" s="267"/>
      <c r="I3" s="269"/>
      <c r="J3" s="269"/>
      <c r="K3" s="269"/>
      <c r="L3" s="269"/>
      <c r="M3" s="269"/>
      <c r="N3" s="269"/>
      <c r="O3" s="269"/>
      <c r="P3" s="269"/>
      <c r="Q3" s="269"/>
      <c r="R3" s="269"/>
      <c r="S3" s="55"/>
    </row>
    <row r="4" spans="1:20" ht="18" customHeight="1" x14ac:dyDescent="0.3">
      <c r="A4" s="6" t="s">
        <v>13</v>
      </c>
      <c r="B4" s="7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20" ht="22.5" customHeight="1" x14ac:dyDescent="0.3">
      <c r="A5" s="11" t="s">
        <v>66</v>
      </c>
      <c r="B5" s="12"/>
      <c r="C5" s="13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1:20" ht="16.5" customHeight="1" thickBot="1" x14ac:dyDescent="0.35">
      <c r="A6" s="362" t="s">
        <v>205</v>
      </c>
      <c r="B6" s="362"/>
      <c r="C6" s="362"/>
      <c r="D6" s="362"/>
      <c r="E6" s="14"/>
      <c r="F6" s="14"/>
      <c r="G6" s="14"/>
      <c r="H6" s="14"/>
      <c r="I6" s="14"/>
      <c r="J6" s="14"/>
      <c r="K6" s="14"/>
      <c r="L6" s="9"/>
      <c r="M6" s="9"/>
      <c r="N6" s="9"/>
      <c r="O6" s="9"/>
      <c r="P6" s="9"/>
    </row>
    <row r="7" spans="1:20" ht="36.75" customHeight="1" thickBot="1" x14ac:dyDescent="0.35">
      <c r="A7" s="72" t="s">
        <v>14</v>
      </c>
      <c r="B7" s="73" t="s">
        <v>198</v>
      </c>
      <c r="C7" s="74" t="s">
        <v>177</v>
      </c>
      <c r="D7" s="99" t="s">
        <v>199</v>
      </c>
      <c r="E7" s="79" t="s">
        <v>69</v>
      </c>
      <c r="F7" s="78"/>
      <c r="G7" s="78"/>
      <c r="H7" s="78"/>
      <c r="I7" s="78"/>
      <c r="J7" s="78"/>
      <c r="K7" s="78"/>
      <c r="L7" s="15"/>
      <c r="M7" s="359"/>
      <c r="N7" s="359"/>
      <c r="O7" s="359"/>
      <c r="P7" s="359"/>
      <c r="Q7" s="359"/>
      <c r="R7" s="359"/>
    </row>
    <row r="8" spans="1:20" ht="19.5" customHeight="1" x14ac:dyDescent="0.3">
      <c r="A8" s="75" t="s">
        <v>9</v>
      </c>
      <c r="B8" s="76">
        <v>235270</v>
      </c>
      <c r="C8" s="76">
        <v>234906</v>
      </c>
      <c r="D8" s="90">
        <v>234270</v>
      </c>
      <c r="E8" s="79"/>
      <c r="F8" s="78"/>
      <c r="G8" s="78"/>
      <c r="H8" s="78"/>
      <c r="I8" s="78"/>
      <c r="J8" s="78"/>
      <c r="K8" s="78"/>
      <c r="L8" s="17"/>
      <c r="M8" s="360"/>
      <c r="N8" s="360"/>
      <c r="O8" s="360"/>
      <c r="P8" s="360"/>
      <c r="Q8" s="360"/>
      <c r="R8" s="360"/>
    </row>
    <row r="9" spans="1:20" ht="36.75" customHeight="1" x14ac:dyDescent="0.3">
      <c r="A9" s="57" t="s">
        <v>59</v>
      </c>
      <c r="B9" s="16">
        <v>0</v>
      </c>
      <c r="C9" s="16">
        <v>0</v>
      </c>
      <c r="D9" s="91">
        <v>0</v>
      </c>
      <c r="E9" s="79" t="s">
        <v>144</v>
      </c>
      <c r="F9" s="78"/>
      <c r="G9" s="78"/>
      <c r="H9" s="78"/>
      <c r="I9" s="78"/>
      <c r="J9" s="78"/>
      <c r="K9" s="78"/>
      <c r="L9" s="18"/>
      <c r="M9" s="360"/>
      <c r="N9" s="360"/>
      <c r="O9" s="360"/>
      <c r="P9" s="360"/>
      <c r="Q9" s="360"/>
      <c r="R9" s="360"/>
    </row>
    <row r="10" spans="1:20" ht="21" customHeight="1" x14ac:dyDescent="0.3">
      <c r="A10" s="57" t="s">
        <v>143</v>
      </c>
      <c r="B10" s="16">
        <v>104720</v>
      </c>
      <c r="C10" s="16">
        <v>104720</v>
      </c>
      <c r="D10" s="91">
        <v>104720</v>
      </c>
      <c r="E10" s="83"/>
      <c r="F10" s="265"/>
      <c r="G10" s="265"/>
      <c r="H10" s="265"/>
      <c r="I10" s="265"/>
      <c r="J10" s="265"/>
      <c r="K10" s="265"/>
      <c r="L10" s="18"/>
      <c r="M10" s="266"/>
      <c r="N10" s="266"/>
      <c r="O10" s="266"/>
      <c r="P10" s="266"/>
      <c r="Q10" s="266"/>
      <c r="R10" s="266"/>
    </row>
    <row r="11" spans="1:20" ht="34.5" customHeight="1" x14ac:dyDescent="0.3">
      <c r="A11" s="58" t="s">
        <v>8</v>
      </c>
      <c r="B11" s="20">
        <v>0</v>
      </c>
      <c r="C11" s="20">
        <v>0</v>
      </c>
      <c r="D11" s="92">
        <v>0</v>
      </c>
      <c r="E11" s="79" t="s">
        <v>70</v>
      </c>
      <c r="F11" s="78"/>
      <c r="G11" s="78"/>
      <c r="H11" s="78"/>
      <c r="I11" s="78"/>
      <c r="J11" s="78"/>
      <c r="K11" s="78"/>
      <c r="L11" s="18"/>
      <c r="M11" s="360"/>
      <c r="N11" s="360"/>
      <c r="O11" s="360"/>
      <c r="P11" s="360"/>
      <c r="Q11" s="360"/>
      <c r="R11" s="360"/>
    </row>
    <row r="12" spans="1:20" x14ac:dyDescent="0.3">
      <c r="A12" s="59" t="s">
        <v>1</v>
      </c>
      <c r="B12" s="16">
        <v>2000</v>
      </c>
      <c r="C12" s="16">
        <v>2000</v>
      </c>
      <c r="D12" s="91">
        <v>2000</v>
      </c>
      <c r="E12" s="80" t="s">
        <v>71</v>
      </c>
      <c r="F12" s="81"/>
      <c r="G12" s="81"/>
      <c r="H12" s="81"/>
      <c r="I12" s="81"/>
      <c r="J12" s="81"/>
      <c r="K12" s="81"/>
      <c r="L12" s="21"/>
      <c r="M12" s="366"/>
      <c r="N12" s="366"/>
      <c r="O12" s="366"/>
      <c r="P12" s="366"/>
      <c r="Q12" s="366"/>
      <c r="R12" s="366"/>
    </row>
    <row r="13" spans="1:20" x14ac:dyDescent="0.3">
      <c r="A13" s="59" t="s">
        <v>11</v>
      </c>
      <c r="B13" s="16">
        <v>1429568</v>
      </c>
      <c r="C13" s="16">
        <v>1429058</v>
      </c>
      <c r="D13" s="91">
        <v>1428200</v>
      </c>
      <c r="E13" s="82"/>
      <c r="F13" s="9"/>
      <c r="G13" s="22"/>
      <c r="H13" s="22"/>
      <c r="I13" s="9"/>
      <c r="J13" s="9"/>
      <c r="K13" s="9"/>
      <c r="L13" s="9"/>
      <c r="M13" s="9"/>
      <c r="N13" s="9"/>
      <c r="O13" s="9"/>
      <c r="P13" s="9"/>
    </row>
    <row r="14" spans="1:20" x14ac:dyDescent="0.3">
      <c r="A14" s="59" t="s">
        <v>174</v>
      </c>
      <c r="B14" s="16">
        <v>8040</v>
      </c>
      <c r="C14" s="16">
        <v>4861</v>
      </c>
      <c r="D14" s="91">
        <v>0</v>
      </c>
      <c r="E14" s="82"/>
      <c r="F14" s="9"/>
      <c r="G14" s="22"/>
      <c r="H14" s="22"/>
      <c r="I14" s="9"/>
      <c r="J14" s="9"/>
      <c r="K14" s="9"/>
      <c r="L14" s="9"/>
      <c r="M14" s="9"/>
      <c r="N14" s="9"/>
      <c r="O14" s="9"/>
      <c r="P14" s="9"/>
    </row>
    <row r="15" spans="1:20" ht="19.5" thickBot="1" x14ac:dyDescent="0.35">
      <c r="A15" s="108" t="s">
        <v>176</v>
      </c>
      <c r="B15" s="109">
        <v>2000</v>
      </c>
      <c r="C15" s="109">
        <v>2000</v>
      </c>
      <c r="D15" s="110">
        <v>2000</v>
      </c>
      <c r="E15" s="82"/>
      <c r="F15" s="9"/>
      <c r="G15" s="22"/>
      <c r="H15" s="22"/>
      <c r="I15" s="9"/>
      <c r="J15" s="9"/>
      <c r="K15" s="9"/>
      <c r="L15" s="9"/>
      <c r="M15" s="9"/>
      <c r="N15" s="9"/>
      <c r="O15" s="9"/>
      <c r="P15" s="9"/>
    </row>
    <row r="16" spans="1:20" ht="19.5" thickBot="1" x14ac:dyDescent="0.35">
      <c r="A16" s="152" t="s">
        <v>15</v>
      </c>
      <c r="B16" s="153">
        <v>1781598</v>
      </c>
      <c r="C16" s="153">
        <v>1777545</v>
      </c>
      <c r="D16" s="154">
        <v>1771190</v>
      </c>
      <c r="E16" s="82"/>
      <c r="F16" s="9"/>
      <c r="G16" s="24"/>
      <c r="H16" s="24"/>
      <c r="I16" s="9"/>
      <c r="J16" s="9"/>
      <c r="K16" s="9"/>
      <c r="L16" s="9"/>
      <c r="M16" s="9"/>
      <c r="N16" s="9"/>
      <c r="O16" s="9"/>
      <c r="P16" s="9"/>
    </row>
    <row r="17" spans="1:65" ht="23.25" customHeight="1" x14ac:dyDescent="0.3">
      <c r="A17" s="158" t="s">
        <v>197</v>
      </c>
      <c r="B17" s="159">
        <v>12000</v>
      </c>
      <c r="C17" s="159">
        <v>12000</v>
      </c>
      <c r="D17" s="160">
        <v>12000</v>
      </c>
      <c r="M17" s="9"/>
      <c r="N17" s="9"/>
      <c r="O17" s="9"/>
      <c r="P17" s="9"/>
    </row>
    <row r="18" spans="1:65" ht="22.5" customHeight="1" thickBot="1" x14ac:dyDescent="0.35">
      <c r="A18" s="155" t="s">
        <v>15</v>
      </c>
      <c r="B18" s="156">
        <v>1793598</v>
      </c>
      <c r="C18" s="156">
        <v>1789545</v>
      </c>
      <c r="D18" s="157">
        <v>1783190</v>
      </c>
      <c r="M18" s="9"/>
      <c r="N18" s="9"/>
      <c r="O18" s="9"/>
      <c r="P18" s="9"/>
    </row>
    <row r="19" spans="1:65" ht="30.75" customHeight="1" x14ac:dyDescent="0.3">
      <c r="B19" s="2"/>
      <c r="M19" s="9"/>
      <c r="N19" s="9"/>
      <c r="O19" s="9"/>
      <c r="P19" s="9"/>
    </row>
    <row r="20" spans="1:65" s="27" customFormat="1" ht="21.75" customHeight="1" thickBot="1" x14ac:dyDescent="0.35">
      <c r="A20" s="29" t="s">
        <v>16</v>
      </c>
      <c r="B20" s="30"/>
      <c r="C20" s="10"/>
      <c r="D20" s="12"/>
      <c r="E20" s="12"/>
      <c r="F20" s="12"/>
      <c r="G20" s="12"/>
      <c r="H20" s="12"/>
      <c r="I20" s="9"/>
      <c r="J20" s="9"/>
      <c r="K20" s="9"/>
      <c r="L20" s="52" t="s">
        <v>210</v>
      </c>
      <c r="M20" s="257">
        <v>7.5345000000000004</v>
      </c>
      <c r="S20" s="52" t="s">
        <v>210</v>
      </c>
      <c r="T20" s="259">
        <v>7.5345000000000004</v>
      </c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6"/>
      <c r="AZ20" s="56"/>
      <c r="BA20" s="56"/>
      <c r="BB20" s="56"/>
      <c r="BC20" s="56"/>
      <c r="BD20" s="56"/>
      <c r="BE20" s="56"/>
      <c r="BF20" s="56"/>
      <c r="BG20" s="56"/>
      <c r="BH20" s="56"/>
      <c r="BI20" s="56"/>
      <c r="BJ20" s="56"/>
      <c r="BK20" s="56"/>
      <c r="BL20" s="56"/>
      <c r="BM20" s="56"/>
    </row>
    <row r="21" spans="1:65" ht="114" customHeight="1" thickBot="1" x14ac:dyDescent="0.35">
      <c r="A21" s="199" t="s">
        <v>17</v>
      </c>
      <c r="B21" s="200" t="s">
        <v>0</v>
      </c>
      <c r="C21" s="201" t="s">
        <v>200</v>
      </c>
      <c r="D21" s="202" t="s">
        <v>245</v>
      </c>
      <c r="E21" s="202" t="s">
        <v>246</v>
      </c>
      <c r="F21" s="202" t="s">
        <v>247</v>
      </c>
      <c r="G21" s="202" t="s">
        <v>248</v>
      </c>
      <c r="H21" s="202" t="s">
        <v>8</v>
      </c>
      <c r="I21" s="202" t="s">
        <v>255</v>
      </c>
      <c r="J21" s="202" t="s">
        <v>249</v>
      </c>
      <c r="K21" s="202" t="s">
        <v>250</v>
      </c>
      <c r="L21" s="202" t="s">
        <v>251</v>
      </c>
      <c r="M21" s="202" t="s">
        <v>252</v>
      </c>
      <c r="N21" s="202" t="s">
        <v>24</v>
      </c>
      <c r="O21" s="202" t="s">
        <v>253</v>
      </c>
      <c r="P21" s="202" t="s">
        <v>254</v>
      </c>
      <c r="Q21" s="203" t="s">
        <v>214</v>
      </c>
      <c r="R21" s="203" t="s">
        <v>201</v>
      </c>
      <c r="S21" s="203" t="s">
        <v>207</v>
      </c>
      <c r="T21" s="204" t="s">
        <v>208</v>
      </c>
    </row>
    <row r="22" spans="1:65" ht="19.5" thickBot="1" x14ac:dyDescent="0.35">
      <c r="A22" s="205">
        <v>3</v>
      </c>
      <c r="B22" s="206"/>
      <c r="C22" s="187">
        <v>1790198</v>
      </c>
      <c r="D22" s="207">
        <f>D39</f>
        <v>90000</v>
      </c>
      <c r="E22" s="208">
        <f>E23+E39</f>
        <v>142906</v>
      </c>
      <c r="F22" s="209">
        <f>F23</f>
        <v>2000</v>
      </c>
      <c r="G22" s="210">
        <f>G39+G154+G164</f>
        <v>116020</v>
      </c>
      <c r="H22" s="209">
        <v>0</v>
      </c>
      <c r="I22" s="208">
        <f>I23+I39+I164</f>
        <v>1427500</v>
      </c>
      <c r="J22" s="208">
        <f>J23+J39</f>
        <v>858</v>
      </c>
      <c r="K22" s="209">
        <f>K39</f>
        <v>0</v>
      </c>
      <c r="L22" s="211">
        <f>L39</f>
        <v>2000</v>
      </c>
      <c r="M22" s="209">
        <v>0</v>
      </c>
      <c r="N22" s="209">
        <v>0</v>
      </c>
      <c r="O22" s="208">
        <f>O23+O39</f>
        <v>4861</v>
      </c>
      <c r="P22" s="209">
        <f>P39</f>
        <v>0</v>
      </c>
      <c r="Q22" s="187">
        <f t="shared" ref="Q22:Q53" si="0">SUM(D22:P22)</f>
        <v>1786145</v>
      </c>
      <c r="R22" s="187"/>
      <c r="S22" s="187">
        <f>10254730/M20</f>
        <v>1361036.5651337181</v>
      </c>
      <c r="T22" s="188">
        <f>4750588.57/M20</f>
        <v>630511.4566328224</v>
      </c>
    </row>
    <row r="23" spans="1:65" ht="19.5" thickBot="1" x14ac:dyDescent="0.35">
      <c r="A23" s="69">
        <v>31</v>
      </c>
      <c r="B23" s="70" t="s">
        <v>7</v>
      </c>
      <c r="C23" s="124">
        <v>1411600</v>
      </c>
      <c r="D23" s="111">
        <v>0</v>
      </c>
      <c r="E23" s="111">
        <f>E24+E29+E35</f>
        <v>610</v>
      </c>
      <c r="F23" s="71">
        <f>F29</f>
        <v>2000</v>
      </c>
      <c r="G23" s="119">
        <v>0</v>
      </c>
      <c r="H23" s="71">
        <v>0</v>
      </c>
      <c r="I23" s="111">
        <f>I24+I29+I35</f>
        <v>1400000</v>
      </c>
      <c r="J23" s="111">
        <f>J24+J29+J35</f>
        <v>823</v>
      </c>
      <c r="K23" s="71">
        <v>0</v>
      </c>
      <c r="L23" s="111">
        <v>0</v>
      </c>
      <c r="M23" s="71">
        <v>0</v>
      </c>
      <c r="N23" s="71">
        <v>0</v>
      </c>
      <c r="O23" s="111">
        <f>O24+O29+O35</f>
        <v>4662</v>
      </c>
      <c r="P23" s="71">
        <v>0</v>
      </c>
      <c r="Q23" s="124">
        <f t="shared" si="0"/>
        <v>1408095</v>
      </c>
      <c r="R23" s="124"/>
      <c r="S23" s="124">
        <f>8485930/M20</f>
        <v>1126276.4616099277</v>
      </c>
      <c r="T23" s="175">
        <f>3387083.08/M20</f>
        <v>449543.17871126154</v>
      </c>
    </row>
    <row r="24" spans="1:65" s="32" customFormat="1" ht="19.5" thickBot="1" x14ac:dyDescent="0.35">
      <c r="A24" s="69">
        <v>311</v>
      </c>
      <c r="B24" s="70" t="s">
        <v>20</v>
      </c>
      <c r="C24" s="182">
        <v>1162200</v>
      </c>
      <c r="D24" s="111">
        <v>0</v>
      </c>
      <c r="E24" s="111">
        <f>E25</f>
        <v>470</v>
      </c>
      <c r="F24" s="71">
        <v>0</v>
      </c>
      <c r="G24" s="119">
        <v>0</v>
      </c>
      <c r="H24" s="71">
        <v>0</v>
      </c>
      <c r="I24" s="111">
        <f>I25+I26+I27+I28</f>
        <v>1155000</v>
      </c>
      <c r="J24" s="111">
        <f>J25</f>
        <v>635</v>
      </c>
      <c r="K24" s="71">
        <v>0</v>
      </c>
      <c r="L24" s="111">
        <v>0</v>
      </c>
      <c r="M24" s="71">
        <v>0</v>
      </c>
      <c r="N24" s="71">
        <v>0</v>
      </c>
      <c r="O24" s="111">
        <f>O25</f>
        <v>3595</v>
      </c>
      <c r="P24" s="71">
        <v>0</v>
      </c>
      <c r="Q24" s="182">
        <f t="shared" si="0"/>
        <v>1159700</v>
      </c>
      <c r="R24" s="182"/>
      <c r="S24" s="182">
        <f>6592000/M20</f>
        <v>874908.75306921487</v>
      </c>
      <c r="T24" s="184">
        <f>2852703.42/M20</f>
        <v>378618.80947640847</v>
      </c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</row>
    <row r="25" spans="1:65" x14ac:dyDescent="0.3">
      <c r="A25" s="93">
        <v>31111</v>
      </c>
      <c r="B25" s="34" t="s">
        <v>29</v>
      </c>
      <c r="C25" s="212">
        <v>1107200</v>
      </c>
      <c r="D25" s="213">
        <v>0</v>
      </c>
      <c r="E25" s="213">
        <v>470</v>
      </c>
      <c r="F25" s="214">
        <v>0</v>
      </c>
      <c r="G25" s="214">
        <v>0</v>
      </c>
      <c r="H25" s="214">
        <v>0</v>
      </c>
      <c r="I25" s="213">
        <v>1100000</v>
      </c>
      <c r="J25" s="213">
        <v>635</v>
      </c>
      <c r="K25" s="214">
        <v>0</v>
      </c>
      <c r="L25" s="213">
        <v>0</v>
      </c>
      <c r="M25" s="214">
        <v>0</v>
      </c>
      <c r="N25" s="214">
        <v>0</v>
      </c>
      <c r="O25" s="213">
        <v>3595</v>
      </c>
      <c r="P25" s="214">
        <v>0</v>
      </c>
      <c r="Q25" s="215">
        <f t="shared" si="0"/>
        <v>1104700</v>
      </c>
      <c r="R25" s="189"/>
      <c r="S25" s="189">
        <f>6042000/M20</f>
        <v>801911.20844117051</v>
      </c>
      <c r="T25" s="216">
        <f>2620327.1/M20</f>
        <v>347777.17167695268</v>
      </c>
    </row>
    <row r="26" spans="1:65" x14ac:dyDescent="0.3">
      <c r="A26" s="96">
        <v>31113</v>
      </c>
      <c r="B26" s="39" t="s">
        <v>163</v>
      </c>
      <c r="C26" s="127">
        <v>0</v>
      </c>
      <c r="D26" s="60">
        <v>0</v>
      </c>
      <c r="E26" s="60">
        <v>0</v>
      </c>
      <c r="F26" s="67">
        <v>0</v>
      </c>
      <c r="G26" s="67">
        <v>0</v>
      </c>
      <c r="H26" s="67">
        <v>0</v>
      </c>
      <c r="I26" s="60">
        <v>0</v>
      </c>
      <c r="J26" s="60">
        <v>0</v>
      </c>
      <c r="K26" s="67">
        <v>0</v>
      </c>
      <c r="L26" s="60">
        <v>0</v>
      </c>
      <c r="M26" s="67">
        <v>0</v>
      </c>
      <c r="N26" s="67">
        <v>0</v>
      </c>
      <c r="O26" s="60">
        <v>0</v>
      </c>
      <c r="P26" s="67">
        <v>0</v>
      </c>
      <c r="Q26" s="196">
        <f t="shared" si="0"/>
        <v>0</v>
      </c>
      <c r="R26" s="128"/>
      <c r="S26" s="128">
        <f>100000/M20</f>
        <v>13272.280841462605</v>
      </c>
      <c r="T26" s="176">
        <f>23612.32/M20</f>
        <v>3133.8934235848428</v>
      </c>
    </row>
    <row r="27" spans="1:65" x14ac:dyDescent="0.3">
      <c r="A27" s="96">
        <v>31131</v>
      </c>
      <c r="B27" s="39" t="s">
        <v>164</v>
      </c>
      <c r="C27" s="127">
        <v>40000</v>
      </c>
      <c r="D27" s="60">
        <v>0</v>
      </c>
      <c r="E27" s="60">
        <v>0</v>
      </c>
      <c r="F27" s="67">
        <v>0</v>
      </c>
      <c r="G27" s="67">
        <v>0</v>
      </c>
      <c r="H27" s="67">
        <v>0</v>
      </c>
      <c r="I27" s="60">
        <v>40000</v>
      </c>
      <c r="J27" s="60">
        <v>0</v>
      </c>
      <c r="K27" s="67">
        <v>0</v>
      </c>
      <c r="L27" s="60">
        <v>0</v>
      </c>
      <c r="M27" s="67">
        <v>0</v>
      </c>
      <c r="N27" s="67">
        <v>0</v>
      </c>
      <c r="O27" s="60">
        <v>0</v>
      </c>
      <c r="P27" s="67">
        <v>0</v>
      </c>
      <c r="Q27" s="196">
        <f t="shared" si="0"/>
        <v>40000</v>
      </c>
      <c r="R27" s="128"/>
      <c r="S27" s="128">
        <f>300000/M20</f>
        <v>39816.842524387816</v>
      </c>
      <c r="T27" s="176">
        <f>149362.9/M20</f>
        <v>19823.863560952948</v>
      </c>
    </row>
    <row r="28" spans="1:65" ht="19.5" thickBot="1" x14ac:dyDescent="0.35">
      <c r="A28" s="94">
        <v>31141</v>
      </c>
      <c r="B28" s="35" t="s">
        <v>165</v>
      </c>
      <c r="C28" s="125">
        <v>15000</v>
      </c>
      <c r="D28" s="61">
        <v>0</v>
      </c>
      <c r="E28" s="61">
        <v>0</v>
      </c>
      <c r="F28" s="68">
        <v>0</v>
      </c>
      <c r="G28" s="68">
        <v>0</v>
      </c>
      <c r="H28" s="68">
        <v>0</v>
      </c>
      <c r="I28" s="61">
        <v>15000</v>
      </c>
      <c r="J28" s="61">
        <v>0</v>
      </c>
      <c r="K28" s="68">
        <v>0</v>
      </c>
      <c r="L28" s="61">
        <v>0</v>
      </c>
      <c r="M28" s="68">
        <v>0</v>
      </c>
      <c r="N28" s="68">
        <v>0</v>
      </c>
      <c r="O28" s="61">
        <v>0</v>
      </c>
      <c r="P28" s="68">
        <v>0</v>
      </c>
      <c r="Q28" s="125">
        <f t="shared" si="0"/>
        <v>15000</v>
      </c>
      <c r="R28" s="190"/>
      <c r="S28" s="190">
        <f>150000/M20</f>
        <v>19908.421262193908</v>
      </c>
      <c r="T28" s="217">
        <f>59401.1/M20</f>
        <v>7883.8808149180431</v>
      </c>
    </row>
    <row r="29" spans="1:65" s="32" customFormat="1" ht="19.5" thickBot="1" x14ac:dyDescent="0.35">
      <c r="A29" s="69">
        <v>312</v>
      </c>
      <c r="B29" s="70" t="s">
        <v>18</v>
      </c>
      <c r="C29" s="182">
        <v>68190</v>
      </c>
      <c r="D29" s="111">
        <v>0</v>
      </c>
      <c r="E29" s="111">
        <f>E30+E33+E34</f>
        <v>60</v>
      </c>
      <c r="F29" s="71">
        <f>F30</f>
        <v>2000</v>
      </c>
      <c r="G29" s="119">
        <v>0</v>
      </c>
      <c r="H29" s="71">
        <v>0</v>
      </c>
      <c r="I29" s="111">
        <f>I30+I31+I32+I33+I34</f>
        <v>65000</v>
      </c>
      <c r="J29" s="111">
        <f>J30+J33+J34</f>
        <v>80</v>
      </c>
      <c r="K29" s="71">
        <v>0</v>
      </c>
      <c r="L29" s="111">
        <v>0</v>
      </c>
      <c r="M29" s="71">
        <v>0</v>
      </c>
      <c r="N29" s="71">
        <v>0</v>
      </c>
      <c r="O29" s="111">
        <f>O30+O33+O34</f>
        <v>455</v>
      </c>
      <c r="P29" s="71">
        <v>0</v>
      </c>
      <c r="Q29" s="182">
        <f t="shared" si="0"/>
        <v>67595</v>
      </c>
      <c r="R29" s="182"/>
      <c r="S29" s="182">
        <f>379000/M20</f>
        <v>50301.944389143275</v>
      </c>
      <c r="T29" s="184">
        <f>63042.31/M20</f>
        <v>8367.1524321454635</v>
      </c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</row>
    <row r="30" spans="1:65" x14ac:dyDescent="0.3">
      <c r="A30" s="93">
        <v>31212</v>
      </c>
      <c r="B30" s="34" t="s">
        <v>192</v>
      </c>
      <c r="C30" s="212">
        <v>8335</v>
      </c>
      <c r="D30" s="213">
        <v>0</v>
      </c>
      <c r="E30" s="213">
        <v>0</v>
      </c>
      <c r="F30" s="214">
        <v>2000</v>
      </c>
      <c r="G30" s="214">
        <v>0</v>
      </c>
      <c r="H30" s="214">
        <v>0</v>
      </c>
      <c r="I30" s="213">
        <v>6000</v>
      </c>
      <c r="J30" s="213">
        <v>0</v>
      </c>
      <c r="K30" s="214">
        <v>0</v>
      </c>
      <c r="L30" s="213">
        <v>0</v>
      </c>
      <c r="M30" s="214">
        <v>0</v>
      </c>
      <c r="N30" s="214">
        <v>0</v>
      </c>
      <c r="O30" s="213">
        <v>0</v>
      </c>
      <c r="P30" s="214">
        <v>0</v>
      </c>
      <c r="Q30" s="215">
        <f t="shared" si="0"/>
        <v>8000</v>
      </c>
      <c r="R30" s="189"/>
      <c r="S30" s="189">
        <f>92500/M20</f>
        <v>12276.859778352909</v>
      </c>
      <c r="T30" s="216">
        <f>2884.61/M20</f>
        <v>382.85354038091447</v>
      </c>
    </row>
    <row r="31" spans="1:65" x14ac:dyDescent="0.3">
      <c r="A31" s="96">
        <v>31213</v>
      </c>
      <c r="B31" s="39" t="s">
        <v>196</v>
      </c>
      <c r="C31" s="127">
        <v>33000</v>
      </c>
      <c r="D31" s="60">
        <v>0</v>
      </c>
      <c r="E31" s="60">
        <v>0</v>
      </c>
      <c r="F31" s="67">
        <v>0</v>
      </c>
      <c r="G31" s="67">
        <v>0</v>
      </c>
      <c r="H31" s="67">
        <v>0</v>
      </c>
      <c r="I31" s="60">
        <v>33000</v>
      </c>
      <c r="J31" s="60">
        <v>0</v>
      </c>
      <c r="K31" s="67">
        <v>0</v>
      </c>
      <c r="L31" s="60">
        <v>0</v>
      </c>
      <c r="M31" s="67">
        <v>0</v>
      </c>
      <c r="N31" s="67">
        <v>0</v>
      </c>
      <c r="O31" s="60">
        <v>0</v>
      </c>
      <c r="P31" s="67">
        <v>0</v>
      </c>
      <c r="Q31" s="196">
        <f t="shared" si="0"/>
        <v>33000</v>
      </c>
      <c r="R31" s="128"/>
      <c r="S31" s="128">
        <f>60000/M20</f>
        <v>7963.3685048775624</v>
      </c>
      <c r="T31" s="176">
        <v>0</v>
      </c>
    </row>
    <row r="32" spans="1:65" x14ac:dyDescent="0.3">
      <c r="A32" s="96">
        <v>31215</v>
      </c>
      <c r="B32" s="39" t="s">
        <v>195</v>
      </c>
      <c r="C32" s="127">
        <v>2000</v>
      </c>
      <c r="D32" s="60">
        <v>0</v>
      </c>
      <c r="E32" s="60">
        <v>0</v>
      </c>
      <c r="F32" s="67">
        <v>0</v>
      </c>
      <c r="G32" s="67">
        <v>0</v>
      </c>
      <c r="H32" s="67">
        <v>0</v>
      </c>
      <c r="I32" s="60">
        <v>2000</v>
      </c>
      <c r="J32" s="60">
        <v>0</v>
      </c>
      <c r="K32" s="67">
        <v>0</v>
      </c>
      <c r="L32" s="60">
        <v>0</v>
      </c>
      <c r="M32" s="67">
        <v>0</v>
      </c>
      <c r="N32" s="67">
        <v>0</v>
      </c>
      <c r="O32" s="60">
        <v>0</v>
      </c>
      <c r="P32" s="67">
        <v>0</v>
      </c>
      <c r="Q32" s="196">
        <f t="shared" si="0"/>
        <v>2000</v>
      </c>
      <c r="R32" s="128"/>
      <c r="S32" s="128">
        <f>30000/M20</f>
        <v>3981.6842524387812</v>
      </c>
      <c r="T32" s="176">
        <v>0</v>
      </c>
    </row>
    <row r="33" spans="1:65" x14ac:dyDescent="0.3">
      <c r="A33" s="96">
        <v>31216</v>
      </c>
      <c r="B33" s="39" t="s">
        <v>194</v>
      </c>
      <c r="C33" s="127">
        <v>20335</v>
      </c>
      <c r="D33" s="60">
        <v>0</v>
      </c>
      <c r="E33" s="60">
        <v>34</v>
      </c>
      <c r="F33" s="67">
        <v>0</v>
      </c>
      <c r="G33" s="67">
        <v>0</v>
      </c>
      <c r="H33" s="67">
        <v>0</v>
      </c>
      <c r="I33" s="60">
        <v>20000</v>
      </c>
      <c r="J33" s="60">
        <v>45</v>
      </c>
      <c r="K33" s="67">
        <v>0</v>
      </c>
      <c r="L33" s="60">
        <v>0</v>
      </c>
      <c r="M33" s="67">
        <v>0</v>
      </c>
      <c r="N33" s="67">
        <v>0</v>
      </c>
      <c r="O33" s="60">
        <v>256</v>
      </c>
      <c r="P33" s="67">
        <v>0</v>
      </c>
      <c r="Q33" s="196">
        <f t="shared" si="0"/>
        <v>20335</v>
      </c>
      <c r="R33" s="128"/>
      <c r="S33" s="128">
        <f>152500/M20</f>
        <v>20240.228283230474</v>
      </c>
      <c r="T33" s="176">
        <f>59750/M20</f>
        <v>7930.1878027739067</v>
      </c>
    </row>
    <row r="34" spans="1:65" ht="19.5" thickBot="1" x14ac:dyDescent="0.35">
      <c r="A34" s="94">
        <v>31219</v>
      </c>
      <c r="B34" s="35" t="s">
        <v>193</v>
      </c>
      <c r="C34" s="125">
        <v>4520</v>
      </c>
      <c r="D34" s="61">
        <v>0</v>
      </c>
      <c r="E34" s="61">
        <v>26</v>
      </c>
      <c r="F34" s="68">
        <v>0</v>
      </c>
      <c r="G34" s="68">
        <v>0</v>
      </c>
      <c r="H34" s="68">
        <v>0</v>
      </c>
      <c r="I34" s="61">
        <v>4000</v>
      </c>
      <c r="J34" s="61">
        <v>35</v>
      </c>
      <c r="K34" s="68">
        <v>0</v>
      </c>
      <c r="L34" s="61">
        <v>0</v>
      </c>
      <c r="M34" s="68">
        <v>0</v>
      </c>
      <c r="N34" s="68">
        <v>0</v>
      </c>
      <c r="O34" s="61">
        <v>199</v>
      </c>
      <c r="P34" s="68">
        <v>0</v>
      </c>
      <c r="Q34" s="179">
        <f t="shared" si="0"/>
        <v>4260</v>
      </c>
      <c r="R34" s="190"/>
      <c r="S34" s="190">
        <f>44000/M20</f>
        <v>5839.8035702435463</v>
      </c>
      <c r="T34" s="217">
        <f>407.7/M20</f>
        <v>54.11108899064304</v>
      </c>
    </row>
    <row r="35" spans="1:65" s="32" customFormat="1" ht="19.5" thickBot="1" x14ac:dyDescent="0.35">
      <c r="A35" s="69">
        <v>313</v>
      </c>
      <c r="B35" s="70" t="s">
        <v>26</v>
      </c>
      <c r="C35" s="182">
        <v>181210</v>
      </c>
      <c r="D35" s="111">
        <v>0</v>
      </c>
      <c r="E35" s="111">
        <f>E36</f>
        <v>80</v>
      </c>
      <c r="F35" s="219">
        <v>0</v>
      </c>
      <c r="G35" s="119">
        <v>0</v>
      </c>
      <c r="H35" s="219">
        <v>0</v>
      </c>
      <c r="I35" s="111">
        <f>I36</f>
        <v>180000</v>
      </c>
      <c r="J35" s="111">
        <f>J36</f>
        <v>108</v>
      </c>
      <c r="K35" s="219">
        <v>0</v>
      </c>
      <c r="L35" s="111">
        <v>0</v>
      </c>
      <c r="M35" s="219">
        <v>0</v>
      </c>
      <c r="N35" s="219">
        <v>0</v>
      </c>
      <c r="O35" s="111">
        <f>O36</f>
        <v>612</v>
      </c>
      <c r="P35" s="219">
        <v>0</v>
      </c>
      <c r="Q35" s="182">
        <f t="shared" si="0"/>
        <v>180800</v>
      </c>
      <c r="R35" s="182"/>
      <c r="S35" s="182">
        <f>1514930/M20</f>
        <v>201065.76415156943</v>
      </c>
      <c r="T35" s="184">
        <f>471337.35/M20</f>
        <v>62557.216802707539</v>
      </c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3"/>
      <c r="BL35" s="33"/>
      <c r="BM35" s="33"/>
    </row>
    <row r="36" spans="1:65" s="31" customFormat="1" x14ac:dyDescent="0.3">
      <c r="A36" s="218">
        <v>31321</v>
      </c>
      <c r="B36" s="34" t="s">
        <v>30</v>
      </c>
      <c r="C36" s="212">
        <v>181210</v>
      </c>
      <c r="D36" s="213">
        <v>0</v>
      </c>
      <c r="E36" s="213">
        <v>80</v>
      </c>
      <c r="F36" s="213">
        <v>0</v>
      </c>
      <c r="G36" s="214">
        <v>0</v>
      </c>
      <c r="H36" s="213">
        <v>0</v>
      </c>
      <c r="I36" s="213">
        <v>180000</v>
      </c>
      <c r="J36" s="213">
        <v>108</v>
      </c>
      <c r="K36" s="213">
        <v>0</v>
      </c>
      <c r="L36" s="213">
        <v>0</v>
      </c>
      <c r="M36" s="213">
        <v>0</v>
      </c>
      <c r="N36" s="213">
        <v>0</v>
      </c>
      <c r="O36" s="213">
        <v>612</v>
      </c>
      <c r="P36" s="213">
        <v>0</v>
      </c>
      <c r="Q36" s="215">
        <f t="shared" si="0"/>
        <v>180800</v>
      </c>
      <c r="R36" s="189"/>
      <c r="S36" s="189">
        <f>1506930/M20</f>
        <v>200003.98168425242</v>
      </c>
      <c r="T36" s="216">
        <f>470817.92/M20</f>
        <v>62488.276594332732</v>
      </c>
    </row>
    <row r="37" spans="1:65" s="31" customFormat="1" x14ac:dyDescent="0.3">
      <c r="A37" s="97">
        <v>31322</v>
      </c>
      <c r="B37" s="41" t="s">
        <v>166</v>
      </c>
      <c r="C37" s="127">
        <v>0</v>
      </c>
      <c r="D37" s="129">
        <v>0</v>
      </c>
      <c r="E37" s="129">
        <v>0</v>
      </c>
      <c r="F37" s="197">
        <v>0</v>
      </c>
      <c r="G37" s="117">
        <v>0</v>
      </c>
      <c r="H37" s="197">
        <v>0</v>
      </c>
      <c r="I37" s="129">
        <v>0</v>
      </c>
      <c r="J37" s="129">
        <v>0</v>
      </c>
      <c r="K37" s="197">
        <v>0</v>
      </c>
      <c r="L37" s="129">
        <v>0</v>
      </c>
      <c r="M37" s="197">
        <v>0</v>
      </c>
      <c r="N37" s="197">
        <v>0</v>
      </c>
      <c r="O37" s="129">
        <v>0</v>
      </c>
      <c r="P37" s="197">
        <v>0</v>
      </c>
      <c r="Q37" s="127">
        <f t="shared" si="0"/>
        <v>0</v>
      </c>
      <c r="R37" s="128"/>
      <c r="S37" s="128">
        <f>5000/M20</f>
        <v>663.61404207313024</v>
      </c>
      <c r="T37" s="176">
        <f>118.06/M20</f>
        <v>15.669254761430752</v>
      </c>
    </row>
    <row r="38" spans="1:65" ht="19.5" thickBot="1" x14ac:dyDescent="0.35">
      <c r="A38" s="94">
        <v>31332</v>
      </c>
      <c r="B38" s="35" t="s">
        <v>167</v>
      </c>
      <c r="C38" s="125">
        <v>0</v>
      </c>
      <c r="D38" s="112">
        <v>0</v>
      </c>
      <c r="E38" s="112">
        <v>0</v>
      </c>
      <c r="F38" s="105">
        <v>0</v>
      </c>
      <c r="G38" s="115">
        <v>0</v>
      </c>
      <c r="H38" s="105">
        <v>0</v>
      </c>
      <c r="I38" s="112">
        <v>0</v>
      </c>
      <c r="J38" s="112">
        <v>0</v>
      </c>
      <c r="K38" s="105">
        <v>0</v>
      </c>
      <c r="L38" s="112">
        <v>0</v>
      </c>
      <c r="M38" s="105">
        <v>0</v>
      </c>
      <c r="N38" s="105">
        <v>0</v>
      </c>
      <c r="O38" s="112">
        <v>0</v>
      </c>
      <c r="P38" s="105">
        <v>0</v>
      </c>
      <c r="Q38" s="125">
        <f t="shared" si="0"/>
        <v>0</v>
      </c>
      <c r="R38" s="190"/>
      <c r="S38" s="190">
        <f>3000/M20</f>
        <v>398.16842524387812</v>
      </c>
      <c r="T38" s="217">
        <f>401.37/M20</f>
        <v>53.27095361337846</v>
      </c>
    </row>
    <row r="39" spans="1:65" ht="19.5" thickBot="1" x14ac:dyDescent="0.35">
      <c r="A39" s="69">
        <v>32</v>
      </c>
      <c r="B39" s="70" t="s">
        <v>19</v>
      </c>
      <c r="C39" s="182">
        <v>376628</v>
      </c>
      <c r="D39" s="220">
        <f>D40+D57+D82+D131+D135</f>
        <v>90000</v>
      </c>
      <c r="E39" s="111">
        <f>E40+E57+E82+E131</f>
        <v>142296</v>
      </c>
      <c r="F39" s="219">
        <v>0</v>
      </c>
      <c r="G39" s="221">
        <f>G40+G57+G82+G131+G135</f>
        <v>114850</v>
      </c>
      <c r="H39" s="219">
        <v>0</v>
      </c>
      <c r="I39" s="219">
        <f>I40+I82+I131+I135</f>
        <v>26700</v>
      </c>
      <c r="J39" s="219">
        <f>J40</f>
        <v>35</v>
      </c>
      <c r="K39" s="219">
        <f>K57</f>
        <v>0</v>
      </c>
      <c r="L39" s="219">
        <f>L82</f>
        <v>2000</v>
      </c>
      <c r="M39" s="219">
        <v>0</v>
      </c>
      <c r="N39" s="219">
        <v>0</v>
      </c>
      <c r="O39" s="111">
        <f>O40</f>
        <v>199</v>
      </c>
      <c r="P39" s="219">
        <f>P57</f>
        <v>0</v>
      </c>
      <c r="Q39" s="182">
        <f t="shared" si="0"/>
        <v>376080</v>
      </c>
      <c r="R39" s="182"/>
      <c r="S39" s="182">
        <f>1738500/M20</f>
        <v>230738.60242882738</v>
      </c>
      <c r="T39" s="184">
        <f>1352160.85/M20</f>
        <v>179462.58544030791</v>
      </c>
    </row>
    <row r="40" spans="1:65" s="32" customFormat="1" ht="39" customHeight="1" thickBot="1" x14ac:dyDescent="0.35">
      <c r="A40" s="69">
        <v>321</v>
      </c>
      <c r="B40" s="230" t="s">
        <v>60</v>
      </c>
      <c r="C40" s="182">
        <v>126190</v>
      </c>
      <c r="D40" s="220">
        <f>D41+D49+D51</f>
        <v>60000</v>
      </c>
      <c r="E40" s="111">
        <f>E41+E49</f>
        <v>25026</v>
      </c>
      <c r="F40" s="219">
        <v>0</v>
      </c>
      <c r="G40" s="221">
        <f>G41+G49+G51</f>
        <v>38300</v>
      </c>
      <c r="H40" s="219">
        <v>0</v>
      </c>
      <c r="I40" s="219">
        <f>I41</f>
        <v>2500</v>
      </c>
      <c r="J40" s="219">
        <f>J49</f>
        <v>35</v>
      </c>
      <c r="K40" s="219">
        <v>0</v>
      </c>
      <c r="L40" s="219">
        <v>0</v>
      </c>
      <c r="M40" s="219">
        <v>0</v>
      </c>
      <c r="N40" s="219">
        <v>0</v>
      </c>
      <c r="O40" s="111">
        <f>O49</f>
        <v>199</v>
      </c>
      <c r="P40" s="219">
        <v>0</v>
      </c>
      <c r="Q40" s="182">
        <f t="shared" si="0"/>
        <v>126060</v>
      </c>
      <c r="R40" s="182"/>
      <c r="S40" s="182">
        <f>497000/M20</f>
        <v>65963.23578206914</v>
      </c>
      <c r="T40" s="184">
        <f>379269.27/M20</f>
        <v>50337.68265976508</v>
      </c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  <c r="BF40" s="33"/>
      <c r="BG40" s="33"/>
      <c r="BH40" s="33"/>
      <c r="BI40" s="33"/>
      <c r="BJ40" s="33"/>
      <c r="BK40" s="33"/>
      <c r="BL40" s="33"/>
      <c r="BM40" s="33"/>
    </row>
    <row r="41" spans="1:65" s="36" customFormat="1" x14ac:dyDescent="0.3">
      <c r="A41" s="222">
        <v>3211</v>
      </c>
      <c r="B41" s="223" t="s">
        <v>31</v>
      </c>
      <c r="C41" s="224">
        <v>13600</v>
      </c>
      <c r="D41" s="225">
        <f>D42+D44+D46</f>
        <v>0</v>
      </c>
      <c r="E41" s="226">
        <v>0</v>
      </c>
      <c r="F41" s="227">
        <v>0</v>
      </c>
      <c r="G41" s="228">
        <f>G42+G43+G44+G45+G46+G47</f>
        <v>11100</v>
      </c>
      <c r="H41" s="227">
        <v>0</v>
      </c>
      <c r="I41" s="227">
        <f>I44</f>
        <v>2500</v>
      </c>
      <c r="J41" s="227">
        <v>0</v>
      </c>
      <c r="K41" s="227">
        <v>0</v>
      </c>
      <c r="L41" s="227">
        <v>0</v>
      </c>
      <c r="M41" s="227">
        <v>0</v>
      </c>
      <c r="N41" s="227">
        <v>0</v>
      </c>
      <c r="O41" s="226">
        <v>0</v>
      </c>
      <c r="P41" s="227">
        <v>0</v>
      </c>
      <c r="Q41" s="224">
        <f t="shared" si="0"/>
        <v>13600</v>
      </c>
      <c r="R41" s="191"/>
      <c r="S41" s="191">
        <f>64000/M20</f>
        <v>8494.2597385360677</v>
      </c>
      <c r="T41" s="229">
        <f>58276.19/M20</f>
        <v>7734.5796005043467</v>
      </c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  <c r="BM41" s="31"/>
    </row>
    <row r="42" spans="1:65" x14ac:dyDescent="0.3">
      <c r="A42" s="96">
        <v>32111</v>
      </c>
      <c r="B42" s="40" t="s">
        <v>72</v>
      </c>
      <c r="C42" s="127">
        <v>4100</v>
      </c>
      <c r="D42" s="63">
        <v>0</v>
      </c>
      <c r="E42" s="60">
        <v>0</v>
      </c>
      <c r="F42" s="60">
        <v>0</v>
      </c>
      <c r="G42" s="121">
        <v>4100</v>
      </c>
      <c r="H42" s="60">
        <v>0</v>
      </c>
      <c r="I42" s="60">
        <v>0</v>
      </c>
      <c r="J42" s="60">
        <v>0</v>
      </c>
      <c r="K42" s="60">
        <v>0</v>
      </c>
      <c r="L42" s="60">
        <v>0</v>
      </c>
      <c r="M42" s="60">
        <v>0</v>
      </c>
      <c r="N42" s="60">
        <v>0</v>
      </c>
      <c r="O42" s="60">
        <v>0</v>
      </c>
      <c r="P42" s="60">
        <v>0</v>
      </c>
      <c r="Q42" s="127">
        <f t="shared" si="0"/>
        <v>4100</v>
      </c>
      <c r="R42" s="128"/>
      <c r="S42" s="128">
        <f>20000/M20</f>
        <v>2654.4561682925209</v>
      </c>
      <c r="T42" s="176">
        <f>26410/M20</f>
        <v>3505.2093702302741</v>
      </c>
    </row>
    <row r="43" spans="1:65" ht="36.75" x14ac:dyDescent="0.3">
      <c r="A43" s="96">
        <v>32112</v>
      </c>
      <c r="B43" s="40" t="s">
        <v>73</v>
      </c>
      <c r="C43" s="127">
        <v>0</v>
      </c>
      <c r="D43" s="63">
        <v>0</v>
      </c>
      <c r="E43" s="60">
        <v>0</v>
      </c>
      <c r="F43" s="60">
        <v>0</v>
      </c>
      <c r="G43" s="121">
        <v>0</v>
      </c>
      <c r="H43" s="60">
        <v>0</v>
      </c>
      <c r="I43" s="60">
        <v>0</v>
      </c>
      <c r="J43" s="60">
        <v>0</v>
      </c>
      <c r="K43" s="60">
        <v>0</v>
      </c>
      <c r="L43" s="60">
        <v>0</v>
      </c>
      <c r="M43" s="60">
        <v>0</v>
      </c>
      <c r="N43" s="60">
        <v>0</v>
      </c>
      <c r="O43" s="60">
        <v>0</v>
      </c>
      <c r="P43" s="60">
        <v>0</v>
      </c>
      <c r="Q43" s="127">
        <f t="shared" si="0"/>
        <v>0</v>
      </c>
      <c r="R43" s="128"/>
      <c r="S43" s="128">
        <f>8000/M20</f>
        <v>1061.7824673170085</v>
      </c>
      <c r="T43" s="176">
        <f>905.71/M20</f>
        <v>120.20837480921097</v>
      </c>
    </row>
    <row r="44" spans="1:65" ht="36.75" x14ac:dyDescent="0.3">
      <c r="A44" s="96">
        <v>32113</v>
      </c>
      <c r="B44" s="40" t="s">
        <v>74</v>
      </c>
      <c r="C44" s="127">
        <v>7000</v>
      </c>
      <c r="D44" s="63">
        <v>0</v>
      </c>
      <c r="E44" s="60">
        <v>0</v>
      </c>
      <c r="F44" s="60">
        <v>0</v>
      </c>
      <c r="G44" s="121">
        <v>4500</v>
      </c>
      <c r="H44" s="60">
        <v>0</v>
      </c>
      <c r="I44" s="60">
        <v>2500</v>
      </c>
      <c r="J44" s="60">
        <v>0</v>
      </c>
      <c r="K44" s="60">
        <v>0</v>
      </c>
      <c r="L44" s="60">
        <v>0</v>
      </c>
      <c r="M44" s="60">
        <v>0</v>
      </c>
      <c r="N44" s="60">
        <v>0</v>
      </c>
      <c r="O44" s="60">
        <v>0</v>
      </c>
      <c r="P44" s="60">
        <v>0</v>
      </c>
      <c r="Q44" s="127">
        <f t="shared" si="0"/>
        <v>7000</v>
      </c>
      <c r="R44" s="128"/>
      <c r="S44" s="128">
        <f>15000/M20</f>
        <v>1990.8421262193906</v>
      </c>
      <c r="T44" s="176">
        <f>17744.13/M20</f>
        <v>2355.0507664742186</v>
      </c>
    </row>
    <row r="45" spans="1:65" ht="36.75" x14ac:dyDescent="0.3">
      <c r="A45" s="96">
        <v>32114</v>
      </c>
      <c r="B45" s="40" t="s">
        <v>75</v>
      </c>
      <c r="C45" s="127">
        <v>0</v>
      </c>
      <c r="D45" s="63">
        <v>0</v>
      </c>
      <c r="E45" s="60">
        <v>0</v>
      </c>
      <c r="F45" s="60">
        <v>0</v>
      </c>
      <c r="G45" s="121">
        <v>0</v>
      </c>
      <c r="H45" s="60">
        <v>0</v>
      </c>
      <c r="I45" s="60">
        <v>0</v>
      </c>
      <c r="J45" s="60">
        <v>0</v>
      </c>
      <c r="K45" s="60">
        <v>0</v>
      </c>
      <c r="L45" s="60">
        <v>0</v>
      </c>
      <c r="M45" s="60">
        <v>0</v>
      </c>
      <c r="N45" s="60">
        <v>0</v>
      </c>
      <c r="O45" s="60">
        <v>0</v>
      </c>
      <c r="P45" s="60">
        <v>0</v>
      </c>
      <c r="Q45" s="127">
        <f t="shared" si="0"/>
        <v>0</v>
      </c>
      <c r="R45" s="128"/>
      <c r="S45" s="128">
        <f>8000/M20</f>
        <v>1061.7824673170085</v>
      </c>
      <c r="T45" s="176">
        <v>0</v>
      </c>
    </row>
    <row r="46" spans="1:65" ht="36.75" x14ac:dyDescent="0.3">
      <c r="A46" s="96">
        <v>32115</v>
      </c>
      <c r="B46" s="40" t="s">
        <v>76</v>
      </c>
      <c r="C46" s="127">
        <v>2500</v>
      </c>
      <c r="D46" s="63">
        <v>0</v>
      </c>
      <c r="E46" s="60">
        <v>0</v>
      </c>
      <c r="F46" s="60">
        <v>0</v>
      </c>
      <c r="G46" s="121">
        <v>2500</v>
      </c>
      <c r="H46" s="60">
        <v>0</v>
      </c>
      <c r="I46" s="60">
        <v>0</v>
      </c>
      <c r="J46" s="60">
        <v>0</v>
      </c>
      <c r="K46" s="60">
        <v>0</v>
      </c>
      <c r="L46" s="60">
        <v>0</v>
      </c>
      <c r="M46" s="60">
        <v>0</v>
      </c>
      <c r="N46" s="60">
        <v>0</v>
      </c>
      <c r="O46" s="60">
        <v>0</v>
      </c>
      <c r="P46" s="60">
        <v>0</v>
      </c>
      <c r="Q46" s="127">
        <f t="shared" si="0"/>
        <v>2500</v>
      </c>
      <c r="R46" s="128"/>
      <c r="S46" s="128">
        <f>10000/M20</f>
        <v>1327.2280841462605</v>
      </c>
      <c r="T46" s="176">
        <f>13216.35/M20</f>
        <v>1754.1110889906429</v>
      </c>
    </row>
    <row r="47" spans="1:65" ht="36.75" x14ac:dyDescent="0.3">
      <c r="A47" s="96">
        <v>32116</v>
      </c>
      <c r="B47" s="40" t="s">
        <v>77</v>
      </c>
      <c r="C47" s="127">
        <v>0</v>
      </c>
      <c r="D47" s="63">
        <v>0</v>
      </c>
      <c r="E47" s="60">
        <v>0</v>
      </c>
      <c r="F47" s="60">
        <v>0</v>
      </c>
      <c r="G47" s="121">
        <v>0</v>
      </c>
      <c r="H47" s="60">
        <v>0</v>
      </c>
      <c r="I47" s="60">
        <v>0</v>
      </c>
      <c r="J47" s="60">
        <v>0</v>
      </c>
      <c r="K47" s="60">
        <v>0</v>
      </c>
      <c r="L47" s="60">
        <v>0</v>
      </c>
      <c r="M47" s="60">
        <v>0</v>
      </c>
      <c r="N47" s="60">
        <v>0</v>
      </c>
      <c r="O47" s="60">
        <v>0</v>
      </c>
      <c r="P47" s="60">
        <v>0</v>
      </c>
      <c r="Q47" s="127">
        <f t="shared" si="0"/>
        <v>0</v>
      </c>
      <c r="R47" s="128"/>
      <c r="S47" s="128">
        <f>3000/M20</f>
        <v>398.16842524387812</v>
      </c>
      <c r="T47" s="176">
        <v>0</v>
      </c>
    </row>
    <row r="48" spans="1:65" x14ac:dyDescent="0.3">
      <c r="A48" s="96">
        <v>32117</v>
      </c>
      <c r="B48" s="40" t="s">
        <v>78</v>
      </c>
      <c r="C48" s="127">
        <v>0</v>
      </c>
      <c r="D48" s="63">
        <v>0</v>
      </c>
      <c r="E48" s="60">
        <v>0</v>
      </c>
      <c r="F48" s="60">
        <v>0</v>
      </c>
      <c r="G48" s="121">
        <v>0</v>
      </c>
      <c r="H48" s="60">
        <v>0</v>
      </c>
      <c r="I48" s="60">
        <v>0</v>
      </c>
      <c r="J48" s="60">
        <v>0</v>
      </c>
      <c r="K48" s="60">
        <v>0</v>
      </c>
      <c r="L48" s="60">
        <v>0</v>
      </c>
      <c r="M48" s="60">
        <v>0</v>
      </c>
      <c r="N48" s="60">
        <v>0</v>
      </c>
      <c r="O48" s="60">
        <v>0</v>
      </c>
      <c r="P48" s="60">
        <v>0</v>
      </c>
      <c r="Q48" s="127">
        <f t="shared" si="0"/>
        <v>0</v>
      </c>
      <c r="R48" s="128"/>
      <c r="S48" s="128">
        <v>0</v>
      </c>
      <c r="T48" s="176">
        <v>0</v>
      </c>
    </row>
    <row r="49" spans="1:65" ht="36.75" x14ac:dyDescent="0.3">
      <c r="A49" s="95">
        <v>3212</v>
      </c>
      <c r="B49" s="38" t="s">
        <v>215</v>
      </c>
      <c r="C49" s="308">
        <v>111390</v>
      </c>
      <c r="D49" s="309">
        <v>60000</v>
      </c>
      <c r="E49" s="62">
        <f>E50</f>
        <v>25026</v>
      </c>
      <c r="F49" s="62">
        <v>0</v>
      </c>
      <c r="G49" s="310">
        <f>G50</f>
        <v>26000</v>
      </c>
      <c r="H49" s="62">
        <v>0</v>
      </c>
      <c r="I49" s="62">
        <v>0</v>
      </c>
      <c r="J49" s="62">
        <v>35</v>
      </c>
      <c r="K49" s="62">
        <v>0</v>
      </c>
      <c r="L49" s="62">
        <v>0</v>
      </c>
      <c r="M49" s="62">
        <v>0</v>
      </c>
      <c r="N49" s="62">
        <v>0</v>
      </c>
      <c r="O49" s="62">
        <v>199</v>
      </c>
      <c r="P49" s="62">
        <v>0</v>
      </c>
      <c r="Q49" s="308">
        <f t="shared" si="0"/>
        <v>111260</v>
      </c>
      <c r="R49" s="311"/>
      <c r="S49" s="311">
        <f>S50</f>
        <v>56141.747959386819</v>
      </c>
      <c r="T49" s="312">
        <f>T50</f>
        <v>41972.669719291262</v>
      </c>
    </row>
    <row r="50" spans="1:65" s="36" customFormat="1" ht="36.75" x14ac:dyDescent="0.3">
      <c r="A50" s="97">
        <v>32121</v>
      </c>
      <c r="B50" s="42" t="s">
        <v>150</v>
      </c>
      <c r="C50" s="196">
        <v>111390</v>
      </c>
      <c r="D50" s="306">
        <v>60000</v>
      </c>
      <c r="E50" s="307">
        <v>25026</v>
      </c>
      <c r="F50" s="197">
        <v>0</v>
      </c>
      <c r="G50" s="303">
        <v>26000</v>
      </c>
      <c r="H50" s="197">
        <v>0</v>
      </c>
      <c r="I50" s="197">
        <v>0</v>
      </c>
      <c r="J50" s="197">
        <v>35</v>
      </c>
      <c r="K50" s="197">
        <v>0</v>
      </c>
      <c r="L50" s="197">
        <v>0</v>
      </c>
      <c r="M50" s="197">
        <v>0</v>
      </c>
      <c r="N50" s="197">
        <v>0</v>
      </c>
      <c r="O50" s="307">
        <v>0</v>
      </c>
      <c r="P50" s="197">
        <v>0</v>
      </c>
      <c r="Q50" s="196">
        <f t="shared" si="0"/>
        <v>111061</v>
      </c>
      <c r="R50" s="302"/>
      <c r="S50" s="302">
        <f>423000/M20</f>
        <v>56141.747959386819</v>
      </c>
      <c r="T50" s="305">
        <f>316243.08/M20</f>
        <v>41972.669719291262</v>
      </c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</row>
    <row r="51" spans="1:65" s="36" customFormat="1" x14ac:dyDescent="0.3">
      <c r="A51" s="95">
        <v>3213</v>
      </c>
      <c r="B51" s="38" t="s">
        <v>32</v>
      </c>
      <c r="C51" s="126">
        <v>1200</v>
      </c>
      <c r="D51" s="113">
        <v>0</v>
      </c>
      <c r="E51" s="116">
        <v>0</v>
      </c>
      <c r="F51" s="64">
        <v>0</v>
      </c>
      <c r="G51" s="120">
        <f>G52+G53</f>
        <v>1200</v>
      </c>
      <c r="H51" s="64">
        <v>0</v>
      </c>
      <c r="I51" s="64">
        <v>0</v>
      </c>
      <c r="J51" s="64">
        <v>0</v>
      </c>
      <c r="K51" s="64">
        <v>0</v>
      </c>
      <c r="L51" s="64">
        <v>0</v>
      </c>
      <c r="M51" s="64">
        <v>0</v>
      </c>
      <c r="N51" s="64">
        <v>0</v>
      </c>
      <c r="O51" s="64">
        <v>0</v>
      </c>
      <c r="P51" s="64">
        <v>0</v>
      </c>
      <c r="Q51" s="126">
        <f t="shared" si="0"/>
        <v>1200</v>
      </c>
      <c r="R51" s="192"/>
      <c r="S51" s="192">
        <f>10000/M20</f>
        <v>1327.2280841462605</v>
      </c>
      <c r="T51" s="198">
        <f>4750/M20</f>
        <v>630.43333996947376</v>
      </c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</row>
    <row r="52" spans="1:65" ht="36.75" x14ac:dyDescent="0.3">
      <c r="A52" s="96">
        <v>32131</v>
      </c>
      <c r="B52" s="40" t="s">
        <v>79</v>
      </c>
      <c r="C52" s="127">
        <v>900</v>
      </c>
      <c r="D52" s="63">
        <v>0</v>
      </c>
      <c r="E52" s="67">
        <v>0</v>
      </c>
      <c r="F52" s="67">
        <v>0</v>
      </c>
      <c r="G52" s="121">
        <v>900</v>
      </c>
      <c r="H52" s="67">
        <v>0</v>
      </c>
      <c r="I52" s="67">
        <v>0</v>
      </c>
      <c r="J52" s="67">
        <v>0</v>
      </c>
      <c r="K52" s="67">
        <v>0</v>
      </c>
      <c r="L52" s="67">
        <v>0</v>
      </c>
      <c r="M52" s="67">
        <v>0</v>
      </c>
      <c r="N52" s="67">
        <v>0</v>
      </c>
      <c r="O52" s="67">
        <v>0</v>
      </c>
      <c r="P52" s="67">
        <v>0</v>
      </c>
      <c r="Q52" s="127">
        <f t="shared" si="0"/>
        <v>900</v>
      </c>
      <c r="R52" s="128"/>
      <c r="S52" s="128">
        <f>5000/M20</f>
        <v>663.61404207313024</v>
      </c>
      <c r="T52" s="176">
        <f>4750/M20</f>
        <v>630.43333996947376</v>
      </c>
    </row>
    <row r="53" spans="1:65" x14ac:dyDescent="0.3">
      <c r="A53" s="96">
        <v>32132</v>
      </c>
      <c r="B53" s="40" t="s">
        <v>80</v>
      </c>
      <c r="C53" s="127">
        <v>300</v>
      </c>
      <c r="D53" s="63">
        <v>0</v>
      </c>
      <c r="E53" s="67">
        <v>0</v>
      </c>
      <c r="F53" s="67">
        <v>0</v>
      </c>
      <c r="G53" s="121">
        <v>300</v>
      </c>
      <c r="H53" s="67">
        <v>0</v>
      </c>
      <c r="I53" s="67">
        <v>0</v>
      </c>
      <c r="J53" s="67">
        <v>0</v>
      </c>
      <c r="K53" s="67">
        <v>0</v>
      </c>
      <c r="L53" s="67">
        <v>0</v>
      </c>
      <c r="M53" s="67">
        <v>0</v>
      </c>
      <c r="N53" s="67">
        <v>0</v>
      </c>
      <c r="O53" s="67">
        <v>0</v>
      </c>
      <c r="P53" s="67">
        <v>0</v>
      </c>
      <c r="Q53" s="127">
        <f t="shared" si="0"/>
        <v>300</v>
      </c>
      <c r="R53" s="128"/>
      <c r="S53" s="128">
        <f>5000/M20</f>
        <v>663.61404207313024</v>
      </c>
      <c r="T53" s="176">
        <v>0</v>
      </c>
    </row>
    <row r="54" spans="1:65" s="36" customFormat="1" ht="36.75" x14ac:dyDescent="0.3">
      <c r="A54" s="95">
        <v>3214</v>
      </c>
      <c r="B54" s="38" t="s">
        <v>57</v>
      </c>
      <c r="C54" s="126">
        <v>0</v>
      </c>
      <c r="D54" s="113">
        <v>0</v>
      </c>
      <c r="E54" s="116">
        <v>0</v>
      </c>
      <c r="F54" s="64">
        <v>0</v>
      </c>
      <c r="G54" s="120">
        <v>0</v>
      </c>
      <c r="H54" s="64">
        <v>0</v>
      </c>
      <c r="I54" s="64">
        <v>0</v>
      </c>
      <c r="J54" s="64">
        <v>0</v>
      </c>
      <c r="K54" s="64">
        <v>0</v>
      </c>
      <c r="L54" s="64">
        <v>0</v>
      </c>
      <c r="M54" s="64">
        <v>0</v>
      </c>
      <c r="N54" s="64">
        <v>0</v>
      </c>
      <c r="O54" s="64">
        <v>0</v>
      </c>
      <c r="P54" s="64">
        <v>0</v>
      </c>
      <c r="Q54" s="126">
        <f t="shared" ref="Q54:Q85" si="1">SUM(D54:P54)</f>
        <v>0</v>
      </c>
      <c r="R54" s="192"/>
      <c r="S54" s="192">
        <v>0</v>
      </c>
      <c r="T54" s="198">
        <v>0</v>
      </c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</row>
    <row r="55" spans="1:65" ht="36.75" x14ac:dyDescent="0.3">
      <c r="A55" s="96">
        <v>32141</v>
      </c>
      <c r="B55" s="40" t="s">
        <v>57</v>
      </c>
      <c r="C55" s="127">
        <v>0</v>
      </c>
      <c r="D55" s="63">
        <v>0</v>
      </c>
      <c r="E55" s="67">
        <v>0</v>
      </c>
      <c r="F55" s="67">
        <v>0</v>
      </c>
      <c r="G55" s="121">
        <v>0</v>
      </c>
      <c r="H55" s="67">
        <v>0</v>
      </c>
      <c r="I55" s="67">
        <v>0</v>
      </c>
      <c r="J55" s="67">
        <v>0</v>
      </c>
      <c r="K55" s="67">
        <v>0</v>
      </c>
      <c r="L55" s="67">
        <v>0</v>
      </c>
      <c r="M55" s="67">
        <v>0</v>
      </c>
      <c r="N55" s="67">
        <v>0</v>
      </c>
      <c r="O55" s="67">
        <v>0</v>
      </c>
      <c r="P55" s="67">
        <v>0</v>
      </c>
      <c r="Q55" s="127">
        <f t="shared" si="1"/>
        <v>0</v>
      </c>
      <c r="R55" s="128"/>
      <c r="S55" s="128">
        <v>0</v>
      </c>
      <c r="T55" s="176">
        <v>0</v>
      </c>
    </row>
    <row r="56" spans="1:65" ht="19.5" thickBot="1" x14ac:dyDescent="0.35">
      <c r="A56" s="94">
        <v>32149</v>
      </c>
      <c r="B56" s="231" t="s">
        <v>81</v>
      </c>
      <c r="C56" s="125">
        <v>0</v>
      </c>
      <c r="D56" s="232">
        <v>0</v>
      </c>
      <c r="E56" s="68">
        <v>0</v>
      </c>
      <c r="F56" s="68">
        <v>0</v>
      </c>
      <c r="G56" s="123">
        <v>0</v>
      </c>
      <c r="H56" s="68">
        <v>0</v>
      </c>
      <c r="I56" s="68">
        <v>0</v>
      </c>
      <c r="J56" s="68">
        <v>0</v>
      </c>
      <c r="K56" s="68">
        <v>0</v>
      </c>
      <c r="L56" s="68">
        <v>0</v>
      </c>
      <c r="M56" s="68">
        <v>0</v>
      </c>
      <c r="N56" s="68">
        <v>0</v>
      </c>
      <c r="O56" s="68">
        <v>0</v>
      </c>
      <c r="P56" s="68">
        <v>0</v>
      </c>
      <c r="Q56" s="125">
        <f t="shared" si="1"/>
        <v>0</v>
      </c>
      <c r="R56" s="190"/>
      <c r="S56" s="190">
        <v>0</v>
      </c>
      <c r="T56" s="217">
        <v>0</v>
      </c>
    </row>
    <row r="57" spans="1:65" s="32" customFormat="1" ht="37.5" thickBot="1" x14ac:dyDescent="0.35">
      <c r="A57" s="69">
        <v>322</v>
      </c>
      <c r="B57" s="230" t="s">
        <v>3</v>
      </c>
      <c r="C57" s="182">
        <v>122968</v>
      </c>
      <c r="D57" s="220">
        <f>D58+D67+D78</f>
        <v>3900</v>
      </c>
      <c r="E57" s="119">
        <f>E67</f>
        <v>96000</v>
      </c>
      <c r="F57" s="71">
        <v>0</v>
      </c>
      <c r="G57" s="183">
        <f>G58+G65+G67+G73+G78+G80</f>
        <v>22650</v>
      </c>
      <c r="H57" s="71">
        <v>0</v>
      </c>
      <c r="I57" s="71">
        <v>0</v>
      </c>
      <c r="J57" s="71">
        <v>0</v>
      </c>
      <c r="K57" s="71">
        <f>K65</f>
        <v>0</v>
      </c>
      <c r="L57" s="71">
        <v>0</v>
      </c>
      <c r="M57" s="71">
        <v>0</v>
      </c>
      <c r="N57" s="71">
        <v>0</v>
      </c>
      <c r="O57" s="71">
        <v>0</v>
      </c>
      <c r="P57" s="71">
        <f>P65</f>
        <v>0</v>
      </c>
      <c r="Q57" s="182">
        <f t="shared" si="1"/>
        <v>122550</v>
      </c>
      <c r="R57" s="182"/>
      <c r="S57" s="182">
        <f>365000/M20</f>
        <v>48443.825071338506</v>
      </c>
      <c r="T57" s="184">
        <f>507850.97/M20</f>
        <v>67403.40699449199</v>
      </c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  <c r="BF57" s="33"/>
      <c r="BG57" s="33"/>
      <c r="BH57" s="33"/>
      <c r="BI57" s="33"/>
      <c r="BJ57" s="33"/>
      <c r="BK57" s="33"/>
      <c r="BL57" s="33"/>
      <c r="BM57" s="33"/>
    </row>
    <row r="58" spans="1:65" s="36" customFormat="1" x14ac:dyDescent="0.3">
      <c r="A58" s="222">
        <v>3221</v>
      </c>
      <c r="B58" s="223" t="s">
        <v>33</v>
      </c>
      <c r="C58" s="224">
        <v>5100</v>
      </c>
      <c r="D58" s="225">
        <f>D59+D62+D63+D64</f>
        <v>0</v>
      </c>
      <c r="E58" s="233">
        <v>0</v>
      </c>
      <c r="F58" s="234">
        <v>0</v>
      </c>
      <c r="G58" s="228">
        <f>G59+G60+G62+G63+G64</f>
        <v>5100</v>
      </c>
      <c r="H58" s="234">
        <v>0</v>
      </c>
      <c r="I58" s="234">
        <v>0</v>
      </c>
      <c r="J58" s="234">
        <v>0</v>
      </c>
      <c r="K58" s="234">
        <v>0</v>
      </c>
      <c r="L58" s="234">
        <v>0</v>
      </c>
      <c r="M58" s="234">
        <v>0</v>
      </c>
      <c r="N58" s="234">
        <v>0</v>
      </c>
      <c r="O58" s="234">
        <v>0</v>
      </c>
      <c r="P58" s="234">
        <v>0</v>
      </c>
      <c r="Q58" s="224">
        <f t="shared" si="1"/>
        <v>5100</v>
      </c>
      <c r="R58" s="191"/>
      <c r="S58" s="191">
        <f>54000/M20</f>
        <v>7167.0316543898061</v>
      </c>
      <c r="T58" s="229">
        <f>17432.77/M20</f>
        <v>2313.7261928462403</v>
      </c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</row>
    <row r="59" spans="1:65" x14ac:dyDescent="0.3">
      <c r="A59" s="96">
        <v>32211</v>
      </c>
      <c r="B59" s="40" t="s">
        <v>33</v>
      </c>
      <c r="C59" s="127">
        <v>2300</v>
      </c>
      <c r="D59" s="63">
        <v>0</v>
      </c>
      <c r="E59" s="67">
        <v>0</v>
      </c>
      <c r="F59" s="67">
        <v>0</v>
      </c>
      <c r="G59" s="121">
        <v>2300</v>
      </c>
      <c r="H59" s="67">
        <v>0</v>
      </c>
      <c r="I59" s="67">
        <v>0</v>
      </c>
      <c r="J59" s="67">
        <v>0</v>
      </c>
      <c r="K59" s="67">
        <v>0</v>
      </c>
      <c r="L59" s="67">
        <v>0</v>
      </c>
      <c r="M59" s="67">
        <v>0</v>
      </c>
      <c r="N59" s="67">
        <v>0</v>
      </c>
      <c r="O59" s="67">
        <v>0</v>
      </c>
      <c r="P59" s="67">
        <v>0</v>
      </c>
      <c r="Q59" s="127">
        <f t="shared" si="1"/>
        <v>2300</v>
      </c>
      <c r="R59" s="128"/>
      <c r="S59" s="128">
        <f>15000/M20</f>
        <v>1990.8421262193906</v>
      </c>
      <c r="T59" s="176">
        <f>7624.84/M20</f>
        <v>1011.9901785121773</v>
      </c>
    </row>
    <row r="60" spans="1:65" x14ac:dyDescent="0.3">
      <c r="A60" s="96">
        <v>32212</v>
      </c>
      <c r="B60" s="40" t="s">
        <v>82</v>
      </c>
      <c r="C60" s="127">
        <v>0</v>
      </c>
      <c r="D60" s="63">
        <v>0</v>
      </c>
      <c r="E60" s="67">
        <v>0</v>
      </c>
      <c r="F60" s="67">
        <v>0</v>
      </c>
      <c r="G60" s="121">
        <v>0</v>
      </c>
      <c r="H60" s="67">
        <v>0</v>
      </c>
      <c r="I60" s="67">
        <v>0</v>
      </c>
      <c r="J60" s="67">
        <v>0</v>
      </c>
      <c r="K60" s="67">
        <v>0</v>
      </c>
      <c r="L60" s="67">
        <v>0</v>
      </c>
      <c r="M60" s="67">
        <v>0</v>
      </c>
      <c r="N60" s="67">
        <v>0</v>
      </c>
      <c r="O60" s="67">
        <v>0</v>
      </c>
      <c r="P60" s="67">
        <v>0</v>
      </c>
      <c r="Q60" s="127">
        <f t="shared" si="1"/>
        <v>0</v>
      </c>
      <c r="R60" s="128"/>
      <c r="S60" s="128">
        <f>5000/M20</f>
        <v>663.61404207313024</v>
      </c>
      <c r="T60" s="176">
        <f>751.45/M20</f>
        <v>99.734554383170746</v>
      </c>
    </row>
    <row r="61" spans="1:65" x14ac:dyDescent="0.3">
      <c r="A61" s="96">
        <v>32213</v>
      </c>
      <c r="B61" s="40" t="s">
        <v>83</v>
      </c>
      <c r="C61" s="127">
        <v>0</v>
      </c>
      <c r="D61" s="63">
        <v>0</v>
      </c>
      <c r="E61" s="67">
        <v>0</v>
      </c>
      <c r="F61" s="67">
        <v>0</v>
      </c>
      <c r="G61" s="121">
        <v>0</v>
      </c>
      <c r="H61" s="67">
        <v>0</v>
      </c>
      <c r="I61" s="67">
        <v>0</v>
      </c>
      <c r="J61" s="67">
        <v>0</v>
      </c>
      <c r="K61" s="67">
        <v>0</v>
      </c>
      <c r="L61" s="67">
        <v>0</v>
      </c>
      <c r="M61" s="67">
        <v>0</v>
      </c>
      <c r="N61" s="67">
        <v>0</v>
      </c>
      <c r="O61" s="67">
        <v>0</v>
      </c>
      <c r="P61" s="67">
        <v>0</v>
      </c>
      <c r="Q61" s="127">
        <f t="shared" si="1"/>
        <v>0</v>
      </c>
      <c r="R61" s="128"/>
      <c r="S61" s="128">
        <f>5000/M20</f>
        <v>663.61404207313024</v>
      </c>
      <c r="T61" s="176">
        <v>0</v>
      </c>
    </row>
    <row r="62" spans="1:65" ht="36.75" x14ac:dyDescent="0.3">
      <c r="A62" s="96">
        <v>32214</v>
      </c>
      <c r="B62" s="40" t="s">
        <v>84</v>
      </c>
      <c r="C62" s="127">
        <v>400</v>
      </c>
      <c r="D62" s="63">
        <v>0</v>
      </c>
      <c r="E62" s="67">
        <v>0</v>
      </c>
      <c r="F62" s="67">
        <v>0</v>
      </c>
      <c r="G62" s="121">
        <v>400</v>
      </c>
      <c r="H62" s="67">
        <v>0</v>
      </c>
      <c r="I62" s="67">
        <v>0</v>
      </c>
      <c r="J62" s="67">
        <v>0</v>
      </c>
      <c r="K62" s="67">
        <v>0</v>
      </c>
      <c r="L62" s="67">
        <v>0</v>
      </c>
      <c r="M62" s="67">
        <v>0</v>
      </c>
      <c r="N62" s="67">
        <v>0</v>
      </c>
      <c r="O62" s="67">
        <v>0</v>
      </c>
      <c r="P62" s="67">
        <v>0</v>
      </c>
      <c r="Q62" s="127">
        <f t="shared" si="1"/>
        <v>400</v>
      </c>
      <c r="R62" s="128"/>
      <c r="S62" s="128">
        <f>12000/M20</f>
        <v>1592.6737009755125</v>
      </c>
      <c r="T62" s="176">
        <f>251.35/M20</f>
        <v>33.359877895016254</v>
      </c>
    </row>
    <row r="63" spans="1:65" x14ac:dyDescent="0.3">
      <c r="A63" s="96">
        <v>32216</v>
      </c>
      <c r="B63" s="40" t="s">
        <v>85</v>
      </c>
      <c r="C63" s="127">
        <v>1200</v>
      </c>
      <c r="D63" s="63">
        <v>0</v>
      </c>
      <c r="E63" s="67">
        <v>0</v>
      </c>
      <c r="F63" s="67">
        <v>0</v>
      </c>
      <c r="G63" s="121">
        <v>1200</v>
      </c>
      <c r="H63" s="67">
        <v>0</v>
      </c>
      <c r="I63" s="67">
        <v>0</v>
      </c>
      <c r="J63" s="67">
        <v>0</v>
      </c>
      <c r="K63" s="67">
        <v>0</v>
      </c>
      <c r="L63" s="67">
        <v>0</v>
      </c>
      <c r="M63" s="67">
        <v>0</v>
      </c>
      <c r="N63" s="67">
        <v>0</v>
      </c>
      <c r="O63" s="67">
        <v>0</v>
      </c>
      <c r="P63" s="67">
        <v>0</v>
      </c>
      <c r="Q63" s="127">
        <f t="shared" si="1"/>
        <v>1200</v>
      </c>
      <c r="R63" s="128"/>
      <c r="S63" s="128">
        <f>12000/M20</f>
        <v>1592.6737009755125</v>
      </c>
      <c r="T63" s="176">
        <f>39.96/M20</f>
        <v>5.3036034242484567</v>
      </c>
    </row>
    <row r="64" spans="1:65" ht="36.75" x14ac:dyDescent="0.3">
      <c r="A64" s="96">
        <v>32219</v>
      </c>
      <c r="B64" s="40" t="s">
        <v>86</v>
      </c>
      <c r="C64" s="127">
        <v>1200</v>
      </c>
      <c r="D64" s="63">
        <v>0</v>
      </c>
      <c r="E64" s="67">
        <v>0</v>
      </c>
      <c r="F64" s="67">
        <v>0</v>
      </c>
      <c r="G64" s="121">
        <v>1200</v>
      </c>
      <c r="H64" s="67">
        <v>0</v>
      </c>
      <c r="I64" s="67">
        <v>0</v>
      </c>
      <c r="J64" s="67">
        <v>0</v>
      </c>
      <c r="K64" s="67">
        <v>0</v>
      </c>
      <c r="L64" s="67">
        <v>0</v>
      </c>
      <c r="M64" s="67">
        <v>0</v>
      </c>
      <c r="N64" s="67">
        <v>0</v>
      </c>
      <c r="O64" s="67">
        <v>0</v>
      </c>
      <c r="P64" s="67">
        <v>0</v>
      </c>
      <c r="Q64" s="127">
        <f t="shared" si="1"/>
        <v>1200</v>
      </c>
      <c r="R64" s="128"/>
      <c r="S64" s="128">
        <f>5000/M20</f>
        <v>663.61404207313024</v>
      </c>
      <c r="T64" s="176">
        <f>8765.17/M20</f>
        <v>1163.3379786316277</v>
      </c>
    </row>
    <row r="65" spans="1:65" s="36" customFormat="1" x14ac:dyDescent="0.3">
      <c r="A65" s="95">
        <v>3222</v>
      </c>
      <c r="B65" s="38" t="s">
        <v>67</v>
      </c>
      <c r="C65" s="126">
        <v>618</v>
      </c>
      <c r="D65" s="113">
        <v>0</v>
      </c>
      <c r="E65" s="116">
        <v>0</v>
      </c>
      <c r="F65" s="64">
        <v>0</v>
      </c>
      <c r="G65" s="120">
        <f>G66</f>
        <v>200</v>
      </c>
      <c r="H65" s="64">
        <v>0</v>
      </c>
      <c r="I65" s="64">
        <v>0</v>
      </c>
      <c r="J65" s="64">
        <v>0</v>
      </c>
      <c r="K65" s="64">
        <f>K66</f>
        <v>0</v>
      </c>
      <c r="L65" s="64">
        <v>0</v>
      </c>
      <c r="M65" s="64">
        <v>0</v>
      </c>
      <c r="N65" s="64">
        <v>0</v>
      </c>
      <c r="O65" s="64">
        <v>0</v>
      </c>
      <c r="P65" s="64">
        <f>P66</f>
        <v>0</v>
      </c>
      <c r="Q65" s="126">
        <f t="shared" si="1"/>
        <v>200</v>
      </c>
      <c r="R65" s="192"/>
      <c r="S65" s="192">
        <v>0</v>
      </c>
      <c r="T65" s="198">
        <v>0</v>
      </c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31"/>
      <c r="BJ65" s="31"/>
      <c r="BK65" s="31"/>
      <c r="BL65" s="31"/>
      <c r="BM65" s="31"/>
    </row>
    <row r="66" spans="1:65" s="36" customFormat="1" x14ac:dyDescent="0.3">
      <c r="A66" s="97">
        <v>32224</v>
      </c>
      <c r="B66" s="42" t="s">
        <v>213</v>
      </c>
      <c r="C66" s="196">
        <v>618</v>
      </c>
      <c r="D66" s="306">
        <v>0</v>
      </c>
      <c r="E66" s="304">
        <v>0</v>
      </c>
      <c r="F66" s="66">
        <v>0</v>
      </c>
      <c r="G66" s="303">
        <v>200</v>
      </c>
      <c r="H66" s="66">
        <v>0</v>
      </c>
      <c r="I66" s="66">
        <v>0</v>
      </c>
      <c r="J66" s="66">
        <v>0</v>
      </c>
      <c r="K66" s="66">
        <v>0</v>
      </c>
      <c r="L66" s="66">
        <v>0</v>
      </c>
      <c r="M66" s="66">
        <v>0</v>
      </c>
      <c r="N66" s="66">
        <v>0</v>
      </c>
      <c r="O66" s="66">
        <v>0</v>
      </c>
      <c r="P66" s="66">
        <v>0</v>
      </c>
      <c r="Q66" s="196">
        <f t="shared" si="1"/>
        <v>200</v>
      </c>
      <c r="R66" s="302"/>
      <c r="S66" s="302">
        <v>0</v>
      </c>
      <c r="T66" s="305">
        <v>0</v>
      </c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1"/>
      <c r="BM66" s="31"/>
    </row>
    <row r="67" spans="1:65" s="36" customFormat="1" x14ac:dyDescent="0.3">
      <c r="A67" s="95">
        <v>3223</v>
      </c>
      <c r="B67" s="38" t="s">
        <v>34</v>
      </c>
      <c r="C67" s="126">
        <v>115600</v>
      </c>
      <c r="D67" s="113">
        <f>D70</f>
        <v>3900</v>
      </c>
      <c r="E67" s="116">
        <f>E68+E70</f>
        <v>96000</v>
      </c>
      <c r="F67" s="64">
        <v>0</v>
      </c>
      <c r="G67" s="120">
        <f>G70+G71</f>
        <v>15700</v>
      </c>
      <c r="H67" s="64">
        <v>0</v>
      </c>
      <c r="I67" s="64">
        <v>0</v>
      </c>
      <c r="J67" s="64">
        <v>0</v>
      </c>
      <c r="K67" s="64">
        <v>0</v>
      </c>
      <c r="L67" s="64">
        <v>0</v>
      </c>
      <c r="M67" s="64">
        <v>0</v>
      </c>
      <c r="N67" s="64">
        <v>0</v>
      </c>
      <c r="O67" s="64">
        <v>0</v>
      </c>
      <c r="P67" s="64">
        <v>0</v>
      </c>
      <c r="Q67" s="126">
        <f t="shared" si="1"/>
        <v>115600</v>
      </c>
      <c r="R67" s="192"/>
      <c r="S67" s="192">
        <f>265000/M20</f>
        <v>35171.544229875901</v>
      </c>
      <c r="T67" s="198">
        <f>476396.15/M20</f>
        <v>63228.634945915452</v>
      </c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1"/>
      <c r="BH67" s="31"/>
      <c r="BI67" s="31"/>
      <c r="BJ67" s="31"/>
      <c r="BK67" s="31"/>
      <c r="BL67" s="31"/>
      <c r="BM67" s="31"/>
    </row>
    <row r="68" spans="1:65" x14ac:dyDescent="0.3">
      <c r="A68" s="96">
        <v>32231</v>
      </c>
      <c r="B68" s="40" t="s">
        <v>34</v>
      </c>
      <c r="C68" s="127">
        <v>17000</v>
      </c>
      <c r="D68" s="63">
        <v>0</v>
      </c>
      <c r="E68" s="67">
        <v>17000</v>
      </c>
      <c r="F68" s="67">
        <v>0</v>
      </c>
      <c r="G68" s="121">
        <v>0</v>
      </c>
      <c r="H68" s="67">
        <v>0</v>
      </c>
      <c r="I68" s="67">
        <v>0</v>
      </c>
      <c r="J68" s="67">
        <v>0</v>
      </c>
      <c r="K68" s="67">
        <v>0</v>
      </c>
      <c r="L68" s="67">
        <v>0</v>
      </c>
      <c r="M68" s="67">
        <v>0</v>
      </c>
      <c r="N68" s="67">
        <v>0</v>
      </c>
      <c r="O68" s="67">
        <v>0</v>
      </c>
      <c r="P68" s="67">
        <v>0</v>
      </c>
      <c r="Q68" s="127">
        <f t="shared" si="1"/>
        <v>17000</v>
      </c>
      <c r="R68" s="128"/>
      <c r="S68" s="128">
        <f>80000/M20</f>
        <v>10617.824673170084</v>
      </c>
      <c r="T68" s="176">
        <f>45220.11/M20</f>
        <v>6001.7399960183157</v>
      </c>
    </row>
    <row r="69" spans="1:65" x14ac:dyDescent="0.3">
      <c r="A69" s="96">
        <v>32232</v>
      </c>
      <c r="B69" s="40" t="s">
        <v>87</v>
      </c>
      <c r="C69" s="127">
        <v>0</v>
      </c>
      <c r="D69" s="63">
        <v>0</v>
      </c>
      <c r="E69" s="67">
        <v>0</v>
      </c>
      <c r="F69" s="67">
        <v>0</v>
      </c>
      <c r="G69" s="121">
        <v>0</v>
      </c>
      <c r="H69" s="67">
        <v>0</v>
      </c>
      <c r="I69" s="67">
        <v>0</v>
      </c>
      <c r="J69" s="67">
        <v>0</v>
      </c>
      <c r="K69" s="67">
        <v>0</v>
      </c>
      <c r="L69" s="67">
        <v>0</v>
      </c>
      <c r="M69" s="67">
        <v>0</v>
      </c>
      <c r="N69" s="67">
        <v>0</v>
      </c>
      <c r="O69" s="67">
        <v>0</v>
      </c>
      <c r="P69" s="67">
        <v>0</v>
      </c>
      <c r="Q69" s="127">
        <f t="shared" si="1"/>
        <v>0</v>
      </c>
      <c r="R69" s="128"/>
      <c r="S69" s="128">
        <v>0</v>
      </c>
      <c r="T69" s="176">
        <v>0</v>
      </c>
    </row>
    <row r="70" spans="1:65" x14ac:dyDescent="0.3">
      <c r="A70" s="96">
        <v>32233</v>
      </c>
      <c r="B70" s="40" t="s">
        <v>88</v>
      </c>
      <c r="C70" s="127">
        <v>96100</v>
      </c>
      <c r="D70" s="63">
        <v>3900</v>
      </c>
      <c r="E70" s="67">
        <v>79000</v>
      </c>
      <c r="F70" s="67">
        <v>0</v>
      </c>
      <c r="G70" s="121">
        <v>13200</v>
      </c>
      <c r="H70" s="67">
        <v>0</v>
      </c>
      <c r="I70" s="67">
        <v>0</v>
      </c>
      <c r="J70" s="67">
        <v>0</v>
      </c>
      <c r="K70" s="67">
        <v>0</v>
      </c>
      <c r="L70" s="67">
        <v>0</v>
      </c>
      <c r="M70" s="67">
        <v>0</v>
      </c>
      <c r="N70" s="67">
        <v>0</v>
      </c>
      <c r="O70" s="67">
        <v>0</v>
      </c>
      <c r="P70" s="67">
        <v>0</v>
      </c>
      <c r="Q70" s="127">
        <f t="shared" si="1"/>
        <v>96100</v>
      </c>
      <c r="R70" s="128"/>
      <c r="S70" s="128">
        <f>170000/M20</f>
        <v>22562.877430486427</v>
      </c>
      <c r="T70" s="176">
        <f>421367.13/M20</f>
        <v>55925.028867210829</v>
      </c>
    </row>
    <row r="71" spans="1:65" x14ac:dyDescent="0.3">
      <c r="A71" s="96">
        <v>32234</v>
      </c>
      <c r="B71" s="40" t="s">
        <v>89</v>
      </c>
      <c r="C71" s="127">
        <v>2500</v>
      </c>
      <c r="D71" s="63">
        <v>0</v>
      </c>
      <c r="E71" s="67">
        <v>0</v>
      </c>
      <c r="F71" s="67">
        <v>0</v>
      </c>
      <c r="G71" s="121">
        <v>2500</v>
      </c>
      <c r="H71" s="67">
        <v>0</v>
      </c>
      <c r="I71" s="67">
        <v>0</v>
      </c>
      <c r="J71" s="67">
        <v>0</v>
      </c>
      <c r="K71" s="67">
        <v>0</v>
      </c>
      <c r="L71" s="67">
        <v>0</v>
      </c>
      <c r="M71" s="67">
        <v>0</v>
      </c>
      <c r="N71" s="67">
        <v>0</v>
      </c>
      <c r="O71" s="67">
        <v>0</v>
      </c>
      <c r="P71" s="67">
        <v>0</v>
      </c>
      <c r="Q71" s="127">
        <f t="shared" si="1"/>
        <v>2500</v>
      </c>
      <c r="R71" s="128"/>
      <c r="S71" s="128">
        <f>15000/M20</f>
        <v>1990.8421262193906</v>
      </c>
      <c r="T71" s="176">
        <f>9808.91/M20</f>
        <v>1301.8660826863095</v>
      </c>
    </row>
    <row r="72" spans="1:65" ht="36.75" x14ac:dyDescent="0.3">
      <c r="A72" s="96">
        <v>32239</v>
      </c>
      <c r="B72" s="40" t="s">
        <v>90</v>
      </c>
      <c r="C72" s="127">
        <v>0</v>
      </c>
      <c r="D72" s="63">
        <v>0</v>
      </c>
      <c r="E72" s="67">
        <v>0</v>
      </c>
      <c r="F72" s="67">
        <v>0</v>
      </c>
      <c r="G72" s="121">
        <v>0</v>
      </c>
      <c r="H72" s="67">
        <v>0</v>
      </c>
      <c r="I72" s="67">
        <v>0</v>
      </c>
      <c r="J72" s="67">
        <v>0</v>
      </c>
      <c r="K72" s="67">
        <v>0</v>
      </c>
      <c r="L72" s="67">
        <v>0</v>
      </c>
      <c r="M72" s="67">
        <v>0</v>
      </c>
      <c r="N72" s="67">
        <v>0</v>
      </c>
      <c r="O72" s="67">
        <v>0</v>
      </c>
      <c r="P72" s="67">
        <v>0</v>
      </c>
      <c r="Q72" s="127">
        <f t="shared" si="1"/>
        <v>0</v>
      </c>
      <c r="R72" s="128"/>
      <c r="S72" s="128">
        <v>0</v>
      </c>
      <c r="T72" s="176">
        <v>0</v>
      </c>
    </row>
    <row r="73" spans="1:65" s="36" customFormat="1" x14ac:dyDescent="0.3">
      <c r="A73" s="95">
        <v>3224</v>
      </c>
      <c r="B73" s="38" t="s">
        <v>35</v>
      </c>
      <c r="C73" s="126">
        <v>1650</v>
      </c>
      <c r="D73" s="113">
        <v>0</v>
      </c>
      <c r="E73" s="116">
        <v>0</v>
      </c>
      <c r="F73" s="64">
        <v>0</v>
      </c>
      <c r="G73" s="120">
        <f>G74+G75+G76+G77</f>
        <v>1650</v>
      </c>
      <c r="H73" s="64">
        <v>0</v>
      </c>
      <c r="I73" s="64">
        <v>0</v>
      </c>
      <c r="J73" s="64">
        <v>0</v>
      </c>
      <c r="K73" s="64">
        <v>0</v>
      </c>
      <c r="L73" s="64">
        <v>0</v>
      </c>
      <c r="M73" s="64">
        <v>0</v>
      </c>
      <c r="N73" s="64">
        <v>0</v>
      </c>
      <c r="O73" s="64">
        <v>0</v>
      </c>
      <c r="P73" s="64">
        <v>0</v>
      </c>
      <c r="Q73" s="126">
        <f t="shared" si="1"/>
        <v>1650</v>
      </c>
      <c r="R73" s="192"/>
      <c r="S73" s="192">
        <f>26000/M20</f>
        <v>3450.7930187802772</v>
      </c>
      <c r="T73" s="198">
        <f>7038.17/M20</f>
        <v>934.12568849956858</v>
      </c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</row>
    <row r="74" spans="1:65" s="31" customFormat="1" ht="36.75" x14ac:dyDescent="0.3">
      <c r="A74" s="97">
        <v>32241</v>
      </c>
      <c r="B74" s="42" t="s">
        <v>93</v>
      </c>
      <c r="C74" s="127">
        <v>500</v>
      </c>
      <c r="D74" s="114">
        <v>0</v>
      </c>
      <c r="E74" s="117">
        <v>0</v>
      </c>
      <c r="F74" s="66">
        <v>0</v>
      </c>
      <c r="G74" s="121">
        <v>500</v>
      </c>
      <c r="H74" s="66">
        <v>0</v>
      </c>
      <c r="I74" s="66">
        <v>0</v>
      </c>
      <c r="J74" s="66">
        <v>0</v>
      </c>
      <c r="K74" s="66">
        <v>0</v>
      </c>
      <c r="L74" s="66">
        <v>0</v>
      </c>
      <c r="M74" s="66">
        <v>0</v>
      </c>
      <c r="N74" s="66">
        <v>0</v>
      </c>
      <c r="O74" s="66">
        <v>0</v>
      </c>
      <c r="P74" s="66">
        <v>0</v>
      </c>
      <c r="Q74" s="127">
        <f t="shared" si="1"/>
        <v>500</v>
      </c>
      <c r="R74" s="128"/>
      <c r="S74" s="128">
        <f>5000/M20</f>
        <v>663.61404207313024</v>
      </c>
      <c r="T74" s="176">
        <f>1822.77/M20</f>
        <v>241.92315349392791</v>
      </c>
    </row>
    <row r="75" spans="1:65" s="31" customFormat="1" ht="36.75" customHeight="1" x14ac:dyDescent="0.3">
      <c r="A75" s="97">
        <v>32242</v>
      </c>
      <c r="B75" s="42" t="s">
        <v>154</v>
      </c>
      <c r="C75" s="127">
        <v>200</v>
      </c>
      <c r="D75" s="114">
        <v>0</v>
      </c>
      <c r="E75" s="117">
        <v>0</v>
      </c>
      <c r="F75" s="66">
        <v>0</v>
      </c>
      <c r="G75" s="121">
        <v>200</v>
      </c>
      <c r="H75" s="66">
        <v>0</v>
      </c>
      <c r="I75" s="66">
        <v>0</v>
      </c>
      <c r="J75" s="66">
        <v>0</v>
      </c>
      <c r="K75" s="66">
        <v>0</v>
      </c>
      <c r="L75" s="66">
        <v>0</v>
      </c>
      <c r="M75" s="66">
        <v>0</v>
      </c>
      <c r="N75" s="66">
        <v>0</v>
      </c>
      <c r="O75" s="66">
        <v>0</v>
      </c>
      <c r="P75" s="66">
        <v>0</v>
      </c>
      <c r="Q75" s="127">
        <f t="shared" si="1"/>
        <v>200</v>
      </c>
      <c r="R75" s="128"/>
      <c r="S75" s="128">
        <f>10000/M20</f>
        <v>1327.2280841462605</v>
      </c>
      <c r="T75" s="176">
        <f>619.72/M20</f>
        <v>82.250978830712057</v>
      </c>
    </row>
    <row r="76" spans="1:65" s="31" customFormat="1" ht="36.75" customHeight="1" x14ac:dyDescent="0.3">
      <c r="A76" s="97">
        <v>32243</v>
      </c>
      <c r="B76" s="42" t="s">
        <v>175</v>
      </c>
      <c r="C76" s="127">
        <v>150</v>
      </c>
      <c r="D76" s="114">
        <v>0</v>
      </c>
      <c r="E76" s="117">
        <v>0</v>
      </c>
      <c r="F76" s="66">
        <v>0</v>
      </c>
      <c r="G76" s="121">
        <v>150</v>
      </c>
      <c r="H76" s="66">
        <v>0</v>
      </c>
      <c r="I76" s="66">
        <v>0</v>
      </c>
      <c r="J76" s="66">
        <v>0</v>
      </c>
      <c r="K76" s="66">
        <v>0</v>
      </c>
      <c r="L76" s="66">
        <v>0</v>
      </c>
      <c r="M76" s="66">
        <v>0</v>
      </c>
      <c r="N76" s="66">
        <v>0</v>
      </c>
      <c r="O76" s="66">
        <v>0</v>
      </c>
      <c r="P76" s="66">
        <v>0</v>
      </c>
      <c r="Q76" s="127">
        <f t="shared" si="1"/>
        <v>150</v>
      </c>
      <c r="R76" s="128"/>
      <c r="S76" s="128">
        <f>1000/M20</f>
        <v>132.72280841462606</v>
      </c>
      <c r="T76" s="176">
        <f>289.83/M20</f>
        <v>38.467051562811065</v>
      </c>
    </row>
    <row r="77" spans="1:65" s="31" customFormat="1" ht="36.75" x14ac:dyDescent="0.3">
      <c r="A77" s="97">
        <v>32244</v>
      </c>
      <c r="B77" s="42" t="s">
        <v>94</v>
      </c>
      <c r="C77" s="127">
        <v>800</v>
      </c>
      <c r="D77" s="114">
        <v>0</v>
      </c>
      <c r="E77" s="117">
        <v>0</v>
      </c>
      <c r="F77" s="66">
        <v>0</v>
      </c>
      <c r="G77" s="121">
        <v>800</v>
      </c>
      <c r="H77" s="66">
        <v>0</v>
      </c>
      <c r="I77" s="66">
        <v>0</v>
      </c>
      <c r="J77" s="66">
        <v>0</v>
      </c>
      <c r="K77" s="66">
        <v>0</v>
      </c>
      <c r="L77" s="66">
        <v>0</v>
      </c>
      <c r="M77" s="66">
        <v>0</v>
      </c>
      <c r="N77" s="66">
        <v>0</v>
      </c>
      <c r="O77" s="66">
        <v>0</v>
      </c>
      <c r="P77" s="66">
        <v>0</v>
      </c>
      <c r="Q77" s="127">
        <f t="shared" si="1"/>
        <v>800</v>
      </c>
      <c r="R77" s="128"/>
      <c r="S77" s="128">
        <f>10000/M20</f>
        <v>1327.2280841462605</v>
      </c>
      <c r="T77" s="176">
        <f>4305.85/M20</f>
        <v>571.48450461211758</v>
      </c>
    </row>
    <row r="78" spans="1:65" s="36" customFormat="1" x14ac:dyDescent="0.3">
      <c r="A78" s="95">
        <v>3225</v>
      </c>
      <c r="B78" s="38" t="s">
        <v>36</v>
      </c>
      <c r="C78" s="126">
        <v>0</v>
      </c>
      <c r="D78" s="113">
        <f>D79</f>
        <v>0</v>
      </c>
      <c r="E78" s="116">
        <v>0</v>
      </c>
      <c r="F78" s="64">
        <v>0</v>
      </c>
      <c r="G78" s="120">
        <f>G79</f>
        <v>0</v>
      </c>
      <c r="H78" s="64">
        <v>0</v>
      </c>
      <c r="I78" s="64">
        <v>0</v>
      </c>
      <c r="J78" s="64">
        <v>0</v>
      </c>
      <c r="K78" s="64">
        <v>0</v>
      </c>
      <c r="L78" s="64">
        <v>0</v>
      </c>
      <c r="M78" s="64">
        <v>0</v>
      </c>
      <c r="N78" s="64">
        <v>0</v>
      </c>
      <c r="O78" s="64">
        <v>0</v>
      </c>
      <c r="P78" s="64">
        <v>0</v>
      </c>
      <c r="Q78" s="126">
        <f t="shared" si="1"/>
        <v>0</v>
      </c>
      <c r="R78" s="192"/>
      <c r="S78" s="192">
        <f>15000/M20</f>
        <v>1990.8421262193906</v>
      </c>
      <c r="T78" s="198">
        <f>5214.67/M20</f>
        <v>692.10564735549804</v>
      </c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31"/>
      <c r="BK78" s="31"/>
      <c r="BL78" s="31"/>
      <c r="BM78" s="31"/>
    </row>
    <row r="79" spans="1:65" x14ac:dyDescent="0.3">
      <c r="A79" s="96">
        <v>32251</v>
      </c>
      <c r="B79" s="40" t="s">
        <v>36</v>
      </c>
      <c r="C79" s="127">
        <v>0</v>
      </c>
      <c r="D79" s="63">
        <v>0</v>
      </c>
      <c r="E79" s="67">
        <v>0</v>
      </c>
      <c r="F79" s="67">
        <v>0</v>
      </c>
      <c r="G79" s="121">
        <v>0</v>
      </c>
      <c r="H79" s="67">
        <v>0</v>
      </c>
      <c r="I79" s="67">
        <v>0</v>
      </c>
      <c r="J79" s="67">
        <v>0</v>
      </c>
      <c r="K79" s="67">
        <v>0</v>
      </c>
      <c r="L79" s="67">
        <v>0</v>
      </c>
      <c r="M79" s="67">
        <v>0</v>
      </c>
      <c r="N79" s="67">
        <v>0</v>
      </c>
      <c r="O79" s="67">
        <v>0</v>
      </c>
      <c r="P79" s="67">
        <v>0</v>
      </c>
      <c r="Q79" s="127">
        <f t="shared" si="1"/>
        <v>0</v>
      </c>
      <c r="R79" s="128"/>
      <c r="S79" s="128">
        <f>15000/M20</f>
        <v>1990.8421262193906</v>
      </c>
      <c r="T79" s="176">
        <f>5214.67/M20</f>
        <v>692.10564735549804</v>
      </c>
    </row>
    <row r="80" spans="1:65" s="36" customFormat="1" x14ac:dyDescent="0.3">
      <c r="A80" s="95">
        <v>3227</v>
      </c>
      <c r="B80" s="43" t="s">
        <v>58</v>
      </c>
      <c r="C80" s="126">
        <v>0</v>
      </c>
      <c r="D80" s="113">
        <v>0</v>
      </c>
      <c r="E80" s="116">
        <v>0</v>
      </c>
      <c r="F80" s="64">
        <v>0</v>
      </c>
      <c r="G80" s="120">
        <f>G81</f>
        <v>0</v>
      </c>
      <c r="H80" s="64">
        <v>0</v>
      </c>
      <c r="I80" s="64">
        <v>0</v>
      </c>
      <c r="J80" s="64">
        <v>0</v>
      </c>
      <c r="K80" s="64">
        <v>0</v>
      </c>
      <c r="L80" s="64">
        <v>0</v>
      </c>
      <c r="M80" s="64">
        <v>0</v>
      </c>
      <c r="N80" s="64">
        <v>0</v>
      </c>
      <c r="O80" s="64">
        <v>0</v>
      </c>
      <c r="P80" s="64">
        <v>0</v>
      </c>
      <c r="Q80" s="126">
        <f t="shared" si="1"/>
        <v>0</v>
      </c>
      <c r="R80" s="192"/>
      <c r="S80" s="192">
        <f>5000/M20</f>
        <v>663.61404207313024</v>
      </c>
      <c r="T80" s="198">
        <f>1769.21/M20</f>
        <v>234.81451987524056</v>
      </c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  <c r="AV80" s="31"/>
      <c r="AW80" s="31"/>
      <c r="AX80" s="31"/>
      <c r="AY80" s="31"/>
      <c r="AZ80" s="31"/>
      <c r="BA80" s="31"/>
      <c r="BB80" s="31"/>
      <c r="BC80" s="31"/>
      <c r="BD80" s="31"/>
      <c r="BE80" s="31"/>
      <c r="BF80" s="31"/>
      <c r="BG80" s="31"/>
      <c r="BH80" s="31"/>
      <c r="BI80" s="31"/>
      <c r="BJ80" s="31"/>
      <c r="BK80" s="31"/>
      <c r="BL80" s="31"/>
      <c r="BM80" s="31"/>
    </row>
    <row r="81" spans="1:65" s="31" customFormat="1" ht="19.5" thickBot="1" x14ac:dyDescent="0.35">
      <c r="A81" s="98">
        <v>32271</v>
      </c>
      <c r="B81" s="235" t="s">
        <v>58</v>
      </c>
      <c r="C81" s="125">
        <v>0</v>
      </c>
      <c r="D81" s="185">
        <v>0</v>
      </c>
      <c r="E81" s="115">
        <v>0</v>
      </c>
      <c r="F81" s="65">
        <v>0</v>
      </c>
      <c r="G81" s="123">
        <v>0</v>
      </c>
      <c r="H81" s="65">
        <v>0</v>
      </c>
      <c r="I81" s="65">
        <v>0</v>
      </c>
      <c r="J81" s="65">
        <v>0</v>
      </c>
      <c r="K81" s="65">
        <v>0</v>
      </c>
      <c r="L81" s="65">
        <v>0</v>
      </c>
      <c r="M81" s="65">
        <v>0</v>
      </c>
      <c r="N81" s="65">
        <v>0</v>
      </c>
      <c r="O81" s="65">
        <v>0</v>
      </c>
      <c r="P81" s="65">
        <v>0</v>
      </c>
      <c r="Q81" s="125">
        <f t="shared" si="1"/>
        <v>0</v>
      </c>
      <c r="R81" s="190"/>
      <c r="S81" s="190">
        <f>5000/M20</f>
        <v>663.61404207313024</v>
      </c>
      <c r="T81" s="217">
        <f>1769.21/M20</f>
        <v>234.81451987524056</v>
      </c>
    </row>
    <row r="82" spans="1:65" s="32" customFormat="1" ht="19.5" thickBot="1" x14ac:dyDescent="0.35">
      <c r="A82" s="69">
        <v>323</v>
      </c>
      <c r="B82" s="70" t="s">
        <v>4</v>
      </c>
      <c r="C82" s="182">
        <v>105700</v>
      </c>
      <c r="D82" s="220">
        <f>D83+D89+D94+D105+D111+D114+D120+D124</f>
        <v>22100</v>
      </c>
      <c r="E82" s="237">
        <f>E83+E99+E105</f>
        <v>19800</v>
      </c>
      <c r="F82" s="238">
        <v>0</v>
      </c>
      <c r="G82" s="183">
        <f>G83+G89+G94+G99+G105+G111+G114+G120+G124</f>
        <v>45300</v>
      </c>
      <c r="H82" s="238">
        <v>0</v>
      </c>
      <c r="I82" s="111">
        <f>I83+I114+I111</f>
        <v>16500</v>
      </c>
      <c r="J82" s="238">
        <v>0</v>
      </c>
      <c r="K82" s="238">
        <v>0</v>
      </c>
      <c r="L82" s="238">
        <f>L83+L94</f>
        <v>2000</v>
      </c>
      <c r="M82" s="238">
        <v>0</v>
      </c>
      <c r="N82" s="238">
        <v>0</v>
      </c>
      <c r="O82" s="238">
        <v>0</v>
      </c>
      <c r="P82" s="238">
        <v>0</v>
      </c>
      <c r="Q82" s="182">
        <f t="shared" si="1"/>
        <v>105700</v>
      </c>
      <c r="R82" s="182"/>
      <c r="S82" s="182">
        <f>717500/M20</f>
        <v>95228.615037494194</v>
      </c>
      <c r="T82" s="184">
        <f>360137.26/M20</f>
        <v>47798.428561948371</v>
      </c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  <c r="AR82" s="33"/>
      <c r="AS82" s="33"/>
      <c r="AT82" s="33"/>
      <c r="AU82" s="33"/>
      <c r="AV82" s="33"/>
      <c r="AW82" s="33"/>
      <c r="AX82" s="33"/>
      <c r="AY82" s="33"/>
      <c r="AZ82" s="33"/>
      <c r="BA82" s="33"/>
      <c r="BB82" s="33"/>
      <c r="BC82" s="33"/>
      <c r="BD82" s="33"/>
      <c r="BE82" s="33"/>
      <c r="BF82" s="33"/>
      <c r="BG82" s="33"/>
      <c r="BH82" s="33"/>
      <c r="BI82" s="33"/>
      <c r="BJ82" s="33"/>
      <c r="BK82" s="33"/>
      <c r="BL82" s="33"/>
      <c r="BM82" s="33"/>
    </row>
    <row r="83" spans="1:65" s="36" customFormat="1" x14ac:dyDescent="0.3">
      <c r="A83" s="222">
        <v>3231</v>
      </c>
      <c r="B83" s="236" t="s">
        <v>37</v>
      </c>
      <c r="C83" s="224">
        <v>10400</v>
      </c>
      <c r="D83" s="225">
        <f>D84+D86+D88</f>
        <v>2500</v>
      </c>
      <c r="E83" s="233">
        <f>E88</f>
        <v>1000</v>
      </c>
      <c r="F83" s="234">
        <v>0</v>
      </c>
      <c r="G83" s="228">
        <f>G84+G86+G88</f>
        <v>4400</v>
      </c>
      <c r="H83" s="234">
        <v>0</v>
      </c>
      <c r="I83" s="233">
        <f>I88</f>
        <v>1000</v>
      </c>
      <c r="J83" s="234">
        <v>0</v>
      </c>
      <c r="K83" s="234">
        <v>0</v>
      </c>
      <c r="L83" s="234">
        <f>L88</f>
        <v>1500</v>
      </c>
      <c r="M83" s="234">
        <v>0</v>
      </c>
      <c r="N83" s="234">
        <v>0</v>
      </c>
      <c r="O83" s="234">
        <v>0</v>
      </c>
      <c r="P83" s="234">
        <v>0</v>
      </c>
      <c r="Q83" s="224">
        <f t="shared" si="1"/>
        <v>10400</v>
      </c>
      <c r="R83" s="191"/>
      <c r="S83" s="191">
        <f>45000/M20</f>
        <v>5972.5263786581718</v>
      </c>
      <c r="T83" s="229">
        <f>35221.67/M20</f>
        <v>4674.7189594531819</v>
      </c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</row>
    <row r="84" spans="1:65" x14ac:dyDescent="0.3">
      <c r="A84" s="96">
        <v>32311</v>
      </c>
      <c r="B84" s="39" t="s">
        <v>91</v>
      </c>
      <c r="C84" s="127">
        <v>2400</v>
      </c>
      <c r="D84" s="63">
        <v>0</v>
      </c>
      <c r="E84" s="67">
        <v>0</v>
      </c>
      <c r="F84" s="67">
        <v>0</v>
      </c>
      <c r="G84" s="121">
        <v>2400</v>
      </c>
      <c r="H84" s="67">
        <v>0</v>
      </c>
      <c r="I84" s="67">
        <v>0</v>
      </c>
      <c r="J84" s="67">
        <v>0</v>
      </c>
      <c r="K84" s="67">
        <v>0</v>
      </c>
      <c r="L84" s="67">
        <v>0</v>
      </c>
      <c r="M84" s="67">
        <v>0</v>
      </c>
      <c r="N84" s="67">
        <v>0</v>
      </c>
      <c r="O84" s="67">
        <v>0</v>
      </c>
      <c r="P84" s="67">
        <v>0</v>
      </c>
      <c r="Q84" s="127">
        <f t="shared" si="1"/>
        <v>2400</v>
      </c>
      <c r="R84" s="128"/>
      <c r="S84" s="128">
        <f>19000/M20</f>
        <v>2521.7333598778951</v>
      </c>
      <c r="T84" s="176">
        <f>8619.24/M20</f>
        <v>1143.9697391996813</v>
      </c>
    </row>
    <row r="85" spans="1:65" x14ac:dyDescent="0.3">
      <c r="A85" s="96">
        <v>32312</v>
      </c>
      <c r="B85" s="39" t="s">
        <v>137</v>
      </c>
      <c r="C85" s="127">
        <v>0</v>
      </c>
      <c r="D85" s="63">
        <v>0</v>
      </c>
      <c r="E85" s="67">
        <v>0</v>
      </c>
      <c r="F85" s="67">
        <v>0</v>
      </c>
      <c r="G85" s="121">
        <v>0</v>
      </c>
      <c r="H85" s="67">
        <v>0</v>
      </c>
      <c r="I85" s="67">
        <v>0</v>
      </c>
      <c r="J85" s="67">
        <v>0</v>
      </c>
      <c r="K85" s="67">
        <v>0</v>
      </c>
      <c r="L85" s="67">
        <v>0</v>
      </c>
      <c r="M85" s="67">
        <v>0</v>
      </c>
      <c r="N85" s="67">
        <v>0</v>
      </c>
      <c r="O85" s="67">
        <v>0</v>
      </c>
      <c r="P85" s="67">
        <v>0</v>
      </c>
      <c r="Q85" s="127">
        <f t="shared" si="1"/>
        <v>0</v>
      </c>
      <c r="R85" s="128"/>
      <c r="S85" s="128">
        <v>0</v>
      </c>
      <c r="T85" s="176">
        <v>0</v>
      </c>
    </row>
    <row r="86" spans="1:65" x14ac:dyDescent="0.3">
      <c r="A86" s="96">
        <v>32313</v>
      </c>
      <c r="B86" s="39" t="s">
        <v>92</v>
      </c>
      <c r="C86" s="127">
        <v>500</v>
      </c>
      <c r="D86" s="63">
        <v>0</v>
      </c>
      <c r="E86" s="67">
        <v>0</v>
      </c>
      <c r="F86" s="67">
        <v>0</v>
      </c>
      <c r="G86" s="121">
        <v>500</v>
      </c>
      <c r="H86" s="67">
        <v>0</v>
      </c>
      <c r="I86" s="67">
        <v>0</v>
      </c>
      <c r="J86" s="67">
        <v>0</v>
      </c>
      <c r="K86" s="67">
        <v>0</v>
      </c>
      <c r="L86" s="67">
        <v>0</v>
      </c>
      <c r="M86" s="67">
        <v>0</v>
      </c>
      <c r="N86" s="67">
        <v>0</v>
      </c>
      <c r="O86" s="67">
        <v>0</v>
      </c>
      <c r="P86" s="67">
        <v>0</v>
      </c>
      <c r="Q86" s="127">
        <f t="shared" ref="Q86:Q117" si="2">SUM(D86:P86)</f>
        <v>500</v>
      </c>
      <c r="R86" s="128"/>
      <c r="S86" s="128">
        <f>7000/M20</f>
        <v>929.05965890238235</v>
      </c>
      <c r="T86" s="176">
        <f>1396.43/M20</f>
        <v>185.33811135443625</v>
      </c>
    </row>
    <row r="87" spans="1:65" x14ac:dyDescent="0.3">
      <c r="A87" s="96">
        <v>32314</v>
      </c>
      <c r="B87" s="39" t="s">
        <v>136</v>
      </c>
      <c r="C87" s="127">
        <v>0</v>
      </c>
      <c r="D87" s="63">
        <v>0</v>
      </c>
      <c r="E87" s="67">
        <v>0</v>
      </c>
      <c r="F87" s="67">
        <v>0</v>
      </c>
      <c r="G87" s="121">
        <v>0</v>
      </c>
      <c r="H87" s="67">
        <v>0</v>
      </c>
      <c r="I87" s="67">
        <v>0</v>
      </c>
      <c r="J87" s="67">
        <v>0</v>
      </c>
      <c r="K87" s="67">
        <v>0</v>
      </c>
      <c r="L87" s="67">
        <v>0</v>
      </c>
      <c r="M87" s="67">
        <v>0</v>
      </c>
      <c r="N87" s="67">
        <v>0</v>
      </c>
      <c r="O87" s="67">
        <v>0</v>
      </c>
      <c r="P87" s="67">
        <v>0</v>
      </c>
      <c r="Q87" s="127">
        <f t="shared" si="2"/>
        <v>0</v>
      </c>
      <c r="R87" s="128"/>
      <c r="S87" s="128">
        <v>0</v>
      </c>
      <c r="T87" s="176">
        <v>0</v>
      </c>
    </row>
    <row r="88" spans="1:65" x14ac:dyDescent="0.3">
      <c r="A88" s="96">
        <v>32319</v>
      </c>
      <c r="B88" s="39" t="s">
        <v>135</v>
      </c>
      <c r="C88" s="127">
        <v>7500</v>
      </c>
      <c r="D88" s="63">
        <v>2500</v>
      </c>
      <c r="E88" s="67">
        <v>1000</v>
      </c>
      <c r="F88" s="67">
        <v>0</v>
      </c>
      <c r="G88" s="121">
        <v>1500</v>
      </c>
      <c r="H88" s="67">
        <v>0</v>
      </c>
      <c r="I88" s="67">
        <v>1000</v>
      </c>
      <c r="J88" s="67">
        <v>0</v>
      </c>
      <c r="K88" s="67">
        <v>0</v>
      </c>
      <c r="L88" s="67">
        <v>1500</v>
      </c>
      <c r="M88" s="67">
        <v>0</v>
      </c>
      <c r="N88" s="67">
        <v>0</v>
      </c>
      <c r="O88" s="67">
        <v>0</v>
      </c>
      <c r="P88" s="67">
        <v>0</v>
      </c>
      <c r="Q88" s="127">
        <f t="shared" si="2"/>
        <v>7500</v>
      </c>
      <c r="R88" s="128"/>
      <c r="S88" s="128">
        <f>19000/M20</f>
        <v>2521.7333598778951</v>
      </c>
      <c r="T88" s="176">
        <f>25206/M20</f>
        <v>3345.4111088990639</v>
      </c>
    </row>
    <row r="89" spans="1:65" s="36" customFormat="1" x14ac:dyDescent="0.3">
      <c r="A89" s="95">
        <v>3232</v>
      </c>
      <c r="B89" s="37" t="s">
        <v>38</v>
      </c>
      <c r="C89" s="126">
        <v>10300</v>
      </c>
      <c r="D89" s="113">
        <f>D91</f>
        <v>4500</v>
      </c>
      <c r="E89" s="116">
        <f>E90</f>
        <v>0</v>
      </c>
      <c r="F89" s="64">
        <v>0</v>
      </c>
      <c r="G89" s="120">
        <f>G90+G91+G92+G93</f>
        <v>5800</v>
      </c>
      <c r="H89" s="64">
        <v>0</v>
      </c>
      <c r="I89" s="116">
        <v>0</v>
      </c>
      <c r="J89" s="64">
        <v>0</v>
      </c>
      <c r="K89" s="64">
        <v>0</v>
      </c>
      <c r="L89" s="64">
        <v>0</v>
      </c>
      <c r="M89" s="64">
        <v>0</v>
      </c>
      <c r="N89" s="64">
        <v>0</v>
      </c>
      <c r="O89" s="64">
        <v>0</v>
      </c>
      <c r="P89" s="64">
        <v>0</v>
      </c>
      <c r="Q89" s="126">
        <f t="shared" si="2"/>
        <v>10300</v>
      </c>
      <c r="R89" s="192"/>
      <c r="S89" s="192">
        <f>74000/M20</f>
        <v>9821.4878226823275</v>
      </c>
      <c r="T89" s="198">
        <f>26454.67/M20</f>
        <v>3511.138098082155</v>
      </c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  <c r="BF89" s="31"/>
      <c r="BG89" s="31"/>
      <c r="BH89" s="31"/>
      <c r="BI89" s="31"/>
      <c r="BJ89" s="31"/>
      <c r="BK89" s="31"/>
      <c r="BL89" s="31"/>
      <c r="BM89" s="31"/>
    </row>
    <row r="90" spans="1:65" s="31" customFormat="1" x14ac:dyDescent="0.3">
      <c r="A90" s="97">
        <v>32321</v>
      </c>
      <c r="B90" s="41" t="s">
        <v>97</v>
      </c>
      <c r="C90" s="127">
        <v>300</v>
      </c>
      <c r="D90" s="114">
        <v>0</v>
      </c>
      <c r="E90" s="117">
        <v>0</v>
      </c>
      <c r="F90" s="66">
        <v>0</v>
      </c>
      <c r="G90" s="121">
        <v>300</v>
      </c>
      <c r="H90" s="66">
        <v>0</v>
      </c>
      <c r="I90" s="117">
        <v>0</v>
      </c>
      <c r="J90" s="66">
        <v>0</v>
      </c>
      <c r="K90" s="66">
        <v>0</v>
      </c>
      <c r="L90" s="66">
        <v>0</v>
      </c>
      <c r="M90" s="66">
        <v>0</v>
      </c>
      <c r="N90" s="66">
        <v>0</v>
      </c>
      <c r="O90" s="66">
        <v>0</v>
      </c>
      <c r="P90" s="66">
        <v>0</v>
      </c>
      <c r="Q90" s="127">
        <f t="shared" si="2"/>
        <v>300</v>
      </c>
      <c r="R90" s="128"/>
      <c r="S90" s="128">
        <f>10000/M20</f>
        <v>1327.2280841462605</v>
      </c>
      <c r="T90" s="176">
        <v>0</v>
      </c>
    </row>
    <row r="91" spans="1:65" s="31" customFormat="1" x14ac:dyDescent="0.3">
      <c r="A91" s="97">
        <v>32322</v>
      </c>
      <c r="B91" s="41" t="s">
        <v>98</v>
      </c>
      <c r="C91" s="127">
        <v>8500</v>
      </c>
      <c r="D91" s="114">
        <v>4500</v>
      </c>
      <c r="E91" s="117">
        <v>0</v>
      </c>
      <c r="F91" s="66">
        <v>0</v>
      </c>
      <c r="G91" s="121">
        <v>4000</v>
      </c>
      <c r="H91" s="66">
        <v>0</v>
      </c>
      <c r="I91" s="117">
        <v>0</v>
      </c>
      <c r="J91" s="66">
        <v>0</v>
      </c>
      <c r="K91" s="66">
        <v>0</v>
      </c>
      <c r="L91" s="66">
        <v>0</v>
      </c>
      <c r="M91" s="66">
        <v>0</v>
      </c>
      <c r="N91" s="66">
        <v>0</v>
      </c>
      <c r="O91" s="66">
        <v>0</v>
      </c>
      <c r="P91" s="66">
        <v>0</v>
      </c>
      <c r="Q91" s="127">
        <f t="shared" si="2"/>
        <v>8500</v>
      </c>
      <c r="R91" s="128"/>
      <c r="S91" s="128">
        <f>44000/M20</f>
        <v>5839.8035702435463</v>
      </c>
      <c r="T91" s="176">
        <f>18622.74/M20</f>
        <v>2471.6623531753935</v>
      </c>
    </row>
    <row r="92" spans="1:65" s="31" customFormat="1" x14ac:dyDescent="0.3">
      <c r="A92" s="97">
        <v>32323</v>
      </c>
      <c r="B92" s="41" t="s">
        <v>99</v>
      </c>
      <c r="C92" s="127">
        <v>500</v>
      </c>
      <c r="D92" s="66">
        <v>0</v>
      </c>
      <c r="E92" s="117">
        <v>0</v>
      </c>
      <c r="F92" s="66">
        <v>0</v>
      </c>
      <c r="G92" s="121">
        <v>500</v>
      </c>
      <c r="H92" s="66">
        <v>0</v>
      </c>
      <c r="I92" s="117">
        <v>0</v>
      </c>
      <c r="J92" s="66">
        <v>0</v>
      </c>
      <c r="K92" s="66">
        <v>0</v>
      </c>
      <c r="L92" s="66">
        <v>0</v>
      </c>
      <c r="M92" s="66">
        <v>0</v>
      </c>
      <c r="N92" s="66">
        <v>0</v>
      </c>
      <c r="O92" s="66">
        <v>0</v>
      </c>
      <c r="P92" s="66">
        <v>0</v>
      </c>
      <c r="Q92" s="127">
        <f t="shared" si="2"/>
        <v>500</v>
      </c>
      <c r="R92" s="128"/>
      <c r="S92" s="128">
        <f>7000/M20</f>
        <v>929.05965890238235</v>
      </c>
      <c r="T92" s="176">
        <f>3431.93/M20</f>
        <v>455.49538788240756</v>
      </c>
    </row>
    <row r="93" spans="1:65" s="31" customFormat="1" x14ac:dyDescent="0.3">
      <c r="A93" s="97">
        <v>32329</v>
      </c>
      <c r="B93" s="41" t="s">
        <v>140</v>
      </c>
      <c r="C93" s="127">
        <v>1000</v>
      </c>
      <c r="D93" s="66">
        <v>0</v>
      </c>
      <c r="E93" s="117">
        <v>0</v>
      </c>
      <c r="F93" s="66">
        <v>0</v>
      </c>
      <c r="G93" s="121">
        <v>1000</v>
      </c>
      <c r="H93" s="66">
        <v>0</v>
      </c>
      <c r="I93" s="117">
        <v>0</v>
      </c>
      <c r="J93" s="66">
        <v>0</v>
      </c>
      <c r="K93" s="66">
        <v>0</v>
      </c>
      <c r="L93" s="66">
        <v>0</v>
      </c>
      <c r="M93" s="66">
        <v>0</v>
      </c>
      <c r="N93" s="66">
        <v>0</v>
      </c>
      <c r="O93" s="66">
        <v>0</v>
      </c>
      <c r="P93" s="66">
        <v>0</v>
      </c>
      <c r="Q93" s="127">
        <f t="shared" si="2"/>
        <v>1000</v>
      </c>
      <c r="R93" s="128"/>
      <c r="S93" s="128">
        <f>13000/M20</f>
        <v>1725.3965093901386</v>
      </c>
      <c r="T93" s="176">
        <f>4400/M20</f>
        <v>583.98035702435459</v>
      </c>
    </row>
    <row r="94" spans="1:65" s="36" customFormat="1" x14ac:dyDescent="0.3">
      <c r="A94" s="95">
        <v>3233</v>
      </c>
      <c r="B94" s="37" t="s">
        <v>39</v>
      </c>
      <c r="C94" s="126">
        <v>5200</v>
      </c>
      <c r="D94" s="64">
        <f>D95+D97+D98</f>
        <v>0</v>
      </c>
      <c r="E94" s="116">
        <v>0</v>
      </c>
      <c r="F94" s="64">
        <v>0</v>
      </c>
      <c r="G94" s="120">
        <f>G95+G97+G96+G98</f>
        <v>4700</v>
      </c>
      <c r="H94" s="64">
        <v>0</v>
      </c>
      <c r="I94" s="116">
        <v>0</v>
      </c>
      <c r="J94" s="64">
        <v>0</v>
      </c>
      <c r="K94" s="64">
        <v>0</v>
      </c>
      <c r="L94" s="64">
        <f>L97</f>
        <v>500</v>
      </c>
      <c r="M94" s="64">
        <v>0</v>
      </c>
      <c r="N94" s="64">
        <v>0</v>
      </c>
      <c r="O94" s="64">
        <v>0</v>
      </c>
      <c r="P94" s="64">
        <v>0</v>
      </c>
      <c r="Q94" s="126">
        <f t="shared" si="2"/>
        <v>5200</v>
      </c>
      <c r="R94" s="192"/>
      <c r="S94" s="192">
        <f>59000/M20</f>
        <v>7830.6456964629369</v>
      </c>
      <c r="T94" s="198">
        <f>28650/M20</f>
        <v>3802.5084610790364</v>
      </c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31"/>
      <c r="BM94" s="31"/>
    </row>
    <row r="95" spans="1:65" s="31" customFormat="1" x14ac:dyDescent="0.3">
      <c r="A95" s="97">
        <v>32331</v>
      </c>
      <c r="B95" s="41" t="s">
        <v>151</v>
      </c>
      <c r="C95" s="127">
        <v>1500</v>
      </c>
      <c r="D95" s="66">
        <v>0</v>
      </c>
      <c r="E95" s="117">
        <v>0</v>
      </c>
      <c r="F95" s="66">
        <v>0</v>
      </c>
      <c r="G95" s="122">
        <v>1500</v>
      </c>
      <c r="H95" s="66">
        <v>0</v>
      </c>
      <c r="I95" s="117">
        <v>0</v>
      </c>
      <c r="J95" s="66">
        <v>0</v>
      </c>
      <c r="K95" s="66">
        <v>0</v>
      </c>
      <c r="L95" s="66">
        <v>0</v>
      </c>
      <c r="M95" s="66">
        <v>0</v>
      </c>
      <c r="N95" s="66">
        <v>0</v>
      </c>
      <c r="O95" s="66">
        <v>0</v>
      </c>
      <c r="P95" s="66">
        <v>0</v>
      </c>
      <c r="Q95" s="127">
        <f t="shared" si="2"/>
        <v>1500</v>
      </c>
      <c r="R95" s="128"/>
      <c r="S95" s="128">
        <f>18000/M20</f>
        <v>2389.0105514632687</v>
      </c>
      <c r="T95" s="176">
        <f>11375/M20</f>
        <v>1509.7219457163712</v>
      </c>
    </row>
    <row r="96" spans="1:65" x14ac:dyDescent="0.3">
      <c r="A96" s="96">
        <v>32332</v>
      </c>
      <c r="B96" s="39" t="s">
        <v>95</v>
      </c>
      <c r="C96" s="127">
        <v>200</v>
      </c>
      <c r="D96" s="67">
        <v>0</v>
      </c>
      <c r="E96" s="67">
        <v>0</v>
      </c>
      <c r="F96" s="67">
        <v>0</v>
      </c>
      <c r="G96" s="121">
        <v>200</v>
      </c>
      <c r="H96" s="67">
        <v>0</v>
      </c>
      <c r="I96" s="67">
        <v>0</v>
      </c>
      <c r="J96" s="67">
        <v>0</v>
      </c>
      <c r="K96" s="67">
        <v>0</v>
      </c>
      <c r="L96" s="67">
        <v>0</v>
      </c>
      <c r="M96" s="67">
        <v>0</v>
      </c>
      <c r="N96" s="67">
        <v>0</v>
      </c>
      <c r="O96" s="67">
        <v>0</v>
      </c>
      <c r="P96" s="67">
        <v>0</v>
      </c>
      <c r="Q96" s="127">
        <f t="shared" si="2"/>
        <v>200</v>
      </c>
      <c r="R96" s="128"/>
      <c r="S96" s="128">
        <f>5000/M20</f>
        <v>663.61404207313024</v>
      </c>
      <c r="T96" s="176">
        <f>390/M20</f>
        <v>51.761895281704156</v>
      </c>
    </row>
    <row r="97" spans="1:65" x14ac:dyDescent="0.3">
      <c r="A97" s="96">
        <v>32334</v>
      </c>
      <c r="B97" s="39" t="s">
        <v>152</v>
      </c>
      <c r="C97" s="127">
        <v>2000</v>
      </c>
      <c r="D97" s="67">
        <v>0</v>
      </c>
      <c r="E97" s="67">
        <v>0</v>
      </c>
      <c r="F97" s="67">
        <v>0</v>
      </c>
      <c r="G97" s="121">
        <v>1500</v>
      </c>
      <c r="H97" s="67">
        <v>0</v>
      </c>
      <c r="I97" s="67">
        <v>0</v>
      </c>
      <c r="J97" s="67">
        <v>0</v>
      </c>
      <c r="K97" s="67">
        <v>0</v>
      </c>
      <c r="L97" s="67">
        <v>500</v>
      </c>
      <c r="M97" s="67">
        <v>0</v>
      </c>
      <c r="N97" s="67">
        <v>0</v>
      </c>
      <c r="O97" s="67">
        <v>0</v>
      </c>
      <c r="P97" s="67">
        <v>0</v>
      </c>
      <c r="Q97" s="127">
        <f t="shared" si="2"/>
        <v>2000</v>
      </c>
      <c r="R97" s="128"/>
      <c r="S97" s="128">
        <f>16000/M20</f>
        <v>2123.5649346340169</v>
      </c>
      <c r="T97" s="176">
        <f>6325/M20</f>
        <v>839.47176322250971</v>
      </c>
    </row>
    <row r="98" spans="1:65" x14ac:dyDescent="0.3">
      <c r="A98" s="96">
        <v>32339</v>
      </c>
      <c r="B98" s="39" t="s">
        <v>96</v>
      </c>
      <c r="C98" s="127">
        <v>1500</v>
      </c>
      <c r="D98" s="67">
        <v>0</v>
      </c>
      <c r="E98" s="67">
        <v>0</v>
      </c>
      <c r="F98" s="67">
        <v>0</v>
      </c>
      <c r="G98" s="121">
        <v>1500</v>
      </c>
      <c r="H98" s="67">
        <v>0</v>
      </c>
      <c r="I98" s="67">
        <v>0</v>
      </c>
      <c r="J98" s="67">
        <v>0</v>
      </c>
      <c r="K98" s="67">
        <v>0</v>
      </c>
      <c r="L98" s="67">
        <v>0</v>
      </c>
      <c r="M98" s="67">
        <v>0</v>
      </c>
      <c r="N98" s="67">
        <v>0</v>
      </c>
      <c r="O98" s="67">
        <v>0</v>
      </c>
      <c r="P98" s="67">
        <v>0</v>
      </c>
      <c r="Q98" s="127">
        <f t="shared" si="2"/>
        <v>1500</v>
      </c>
      <c r="R98" s="128"/>
      <c r="S98" s="128">
        <f>20000/M20</f>
        <v>2654.4561682925209</v>
      </c>
      <c r="T98" s="176">
        <f>10560/M20</f>
        <v>1401.5528568584512</v>
      </c>
    </row>
    <row r="99" spans="1:65" s="36" customFormat="1" x14ac:dyDescent="0.3">
      <c r="A99" s="95">
        <v>3234</v>
      </c>
      <c r="B99" s="37" t="s">
        <v>40</v>
      </c>
      <c r="C99" s="126">
        <v>8800</v>
      </c>
      <c r="D99" s="64">
        <v>0</v>
      </c>
      <c r="E99" s="116">
        <f>E100+E104</f>
        <v>8000</v>
      </c>
      <c r="F99" s="64">
        <v>0</v>
      </c>
      <c r="G99" s="120">
        <f>G101+G102</f>
        <v>800</v>
      </c>
      <c r="H99" s="64">
        <v>0</v>
      </c>
      <c r="I99" s="116">
        <v>0</v>
      </c>
      <c r="J99" s="64">
        <v>0</v>
      </c>
      <c r="K99" s="64">
        <v>0</v>
      </c>
      <c r="L99" s="64">
        <v>0</v>
      </c>
      <c r="M99" s="64">
        <v>0</v>
      </c>
      <c r="N99" s="64">
        <v>0</v>
      </c>
      <c r="O99" s="64">
        <v>0</v>
      </c>
      <c r="P99" s="64">
        <v>0</v>
      </c>
      <c r="Q99" s="126">
        <f t="shared" si="2"/>
        <v>8800</v>
      </c>
      <c r="R99" s="192"/>
      <c r="S99" s="192">
        <f>65500/M20</f>
        <v>8693.3439511580054</v>
      </c>
      <c r="T99" s="198">
        <f>32595.05/M20</f>
        <v>4326.1065764151563</v>
      </c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  <c r="BF99" s="31"/>
      <c r="BG99" s="31"/>
      <c r="BH99" s="31"/>
      <c r="BI99" s="31"/>
      <c r="BJ99" s="31"/>
      <c r="BK99" s="31"/>
      <c r="BL99" s="31"/>
      <c r="BM99" s="31"/>
    </row>
    <row r="100" spans="1:65" s="31" customFormat="1" x14ac:dyDescent="0.3">
      <c r="A100" s="97">
        <v>32341</v>
      </c>
      <c r="B100" s="41" t="s">
        <v>100</v>
      </c>
      <c r="C100" s="127">
        <v>1500</v>
      </c>
      <c r="D100" s="66">
        <v>0</v>
      </c>
      <c r="E100" s="117">
        <v>1500</v>
      </c>
      <c r="F100" s="66">
        <v>0</v>
      </c>
      <c r="G100" s="121">
        <v>0</v>
      </c>
      <c r="H100" s="66">
        <v>0</v>
      </c>
      <c r="I100" s="117">
        <v>0</v>
      </c>
      <c r="J100" s="66">
        <v>0</v>
      </c>
      <c r="K100" s="66">
        <v>0</v>
      </c>
      <c r="L100" s="66">
        <v>0</v>
      </c>
      <c r="M100" s="66">
        <v>0</v>
      </c>
      <c r="N100" s="66">
        <v>0</v>
      </c>
      <c r="O100" s="66">
        <v>0</v>
      </c>
      <c r="P100" s="66">
        <v>0</v>
      </c>
      <c r="Q100" s="127">
        <f t="shared" si="2"/>
        <v>1500</v>
      </c>
      <c r="R100" s="128"/>
      <c r="S100" s="128">
        <f>12000/M20</f>
        <v>1592.6737009755125</v>
      </c>
      <c r="T100" s="176">
        <f>5174.38/M20</f>
        <v>686.75824540447275</v>
      </c>
    </row>
    <row r="101" spans="1:65" s="31" customFormat="1" x14ac:dyDescent="0.3">
      <c r="A101" s="97">
        <v>32342</v>
      </c>
      <c r="B101" s="41" t="s">
        <v>101</v>
      </c>
      <c r="C101" s="127">
        <v>700</v>
      </c>
      <c r="D101" s="66">
        <v>0</v>
      </c>
      <c r="E101" s="117">
        <v>0</v>
      </c>
      <c r="F101" s="66">
        <v>0</v>
      </c>
      <c r="G101" s="121">
        <v>700</v>
      </c>
      <c r="H101" s="66">
        <v>0</v>
      </c>
      <c r="I101" s="117">
        <v>0</v>
      </c>
      <c r="J101" s="66">
        <v>0</v>
      </c>
      <c r="K101" s="66">
        <v>0</v>
      </c>
      <c r="L101" s="66">
        <v>0</v>
      </c>
      <c r="M101" s="66">
        <v>0</v>
      </c>
      <c r="N101" s="66">
        <v>0</v>
      </c>
      <c r="O101" s="66">
        <v>0</v>
      </c>
      <c r="P101" s="66">
        <v>0</v>
      </c>
      <c r="Q101" s="127">
        <f t="shared" si="2"/>
        <v>700</v>
      </c>
      <c r="R101" s="128"/>
      <c r="S101" s="128">
        <f>2500/M20</f>
        <v>331.80702103656512</v>
      </c>
      <c r="T101" s="176">
        <f>1057.91/M20</f>
        <v>140.40878624991706</v>
      </c>
    </row>
    <row r="102" spans="1:65" s="31" customFormat="1" x14ac:dyDescent="0.3">
      <c r="A102" s="97">
        <v>32343</v>
      </c>
      <c r="B102" s="41" t="s">
        <v>102</v>
      </c>
      <c r="C102" s="127">
        <v>100</v>
      </c>
      <c r="D102" s="66">
        <v>0</v>
      </c>
      <c r="E102" s="117">
        <v>0</v>
      </c>
      <c r="F102" s="66">
        <v>0</v>
      </c>
      <c r="G102" s="121">
        <v>100</v>
      </c>
      <c r="H102" s="66">
        <v>0</v>
      </c>
      <c r="I102" s="117">
        <v>0</v>
      </c>
      <c r="J102" s="66">
        <v>0</v>
      </c>
      <c r="K102" s="66">
        <v>0</v>
      </c>
      <c r="L102" s="66">
        <v>0</v>
      </c>
      <c r="M102" s="66">
        <v>0</v>
      </c>
      <c r="N102" s="66">
        <v>0</v>
      </c>
      <c r="O102" s="66">
        <v>0</v>
      </c>
      <c r="P102" s="66">
        <v>0</v>
      </c>
      <c r="Q102" s="127">
        <f t="shared" si="2"/>
        <v>100</v>
      </c>
      <c r="R102" s="128"/>
      <c r="S102" s="128">
        <v>0</v>
      </c>
      <c r="T102" s="176">
        <v>0</v>
      </c>
    </row>
    <row r="103" spans="1:65" s="31" customFormat="1" x14ac:dyDescent="0.3">
      <c r="A103" s="97">
        <v>32344</v>
      </c>
      <c r="B103" s="41" t="s">
        <v>103</v>
      </c>
      <c r="C103" s="127">
        <v>0</v>
      </c>
      <c r="D103" s="66">
        <v>0</v>
      </c>
      <c r="E103" s="117">
        <v>0</v>
      </c>
      <c r="F103" s="66">
        <v>0</v>
      </c>
      <c r="G103" s="121">
        <v>0</v>
      </c>
      <c r="H103" s="66">
        <v>0</v>
      </c>
      <c r="I103" s="117">
        <v>0</v>
      </c>
      <c r="J103" s="66">
        <v>0</v>
      </c>
      <c r="K103" s="66">
        <v>0</v>
      </c>
      <c r="L103" s="66">
        <v>0</v>
      </c>
      <c r="M103" s="66">
        <v>0</v>
      </c>
      <c r="N103" s="66">
        <v>0</v>
      </c>
      <c r="O103" s="66">
        <v>0</v>
      </c>
      <c r="P103" s="66">
        <v>0</v>
      </c>
      <c r="Q103" s="127">
        <f t="shared" si="2"/>
        <v>0</v>
      </c>
      <c r="R103" s="128"/>
      <c r="S103" s="128">
        <f>1000/M20</f>
        <v>132.72280841462606</v>
      </c>
      <c r="T103" s="176">
        <v>0</v>
      </c>
    </row>
    <row r="104" spans="1:65" s="31" customFormat="1" x14ac:dyDescent="0.3">
      <c r="A104" s="97">
        <v>32349</v>
      </c>
      <c r="B104" s="41" t="s">
        <v>104</v>
      </c>
      <c r="C104" s="127">
        <v>6500</v>
      </c>
      <c r="D104" s="66">
        <v>0</v>
      </c>
      <c r="E104" s="117">
        <v>6500</v>
      </c>
      <c r="F104" s="66">
        <v>0</v>
      </c>
      <c r="G104" s="121">
        <v>0</v>
      </c>
      <c r="H104" s="66">
        <v>0</v>
      </c>
      <c r="I104" s="117">
        <v>0</v>
      </c>
      <c r="J104" s="66">
        <v>0</v>
      </c>
      <c r="K104" s="66">
        <v>0</v>
      </c>
      <c r="L104" s="66">
        <v>0</v>
      </c>
      <c r="M104" s="66">
        <v>0</v>
      </c>
      <c r="N104" s="66">
        <v>0</v>
      </c>
      <c r="O104" s="66">
        <v>0</v>
      </c>
      <c r="P104" s="66">
        <v>0</v>
      </c>
      <c r="Q104" s="127">
        <f t="shared" si="2"/>
        <v>6500</v>
      </c>
      <c r="R104" s="128"/>
      <c r="S104" s="128">
        <f>50000/M20</f>
        <v>6636.1404207313026</v>
      </c>
      <c r="T104" s="176">
        <f>26362.76/M20</f>
        <v>3498.9395447607667</v>
      </c>
    </row>
    <row r="105" spans="1:65" s="36" customFormat="1" x14ac:dyDescent="0.3">
      <c r="A105" s="95">
        <v>3235</v>
      </c>
      <c r="B105" s="37" t="s">
        <v>61</v>
      </c>
      <c r="C105" s="126">
        <v>21100</v>
      </c>
      <c r="D105" s="64">
        <f>D106+D107</f>
        <v>0</v>
      </c>
      <c r="E105" s="116">
        <f>E106+E107</f>
        <v>10800</v>
      </c>
      <c r="F105" s="64">
        <v>0</v>
      </c>
      <c r="G105" s="120">
        <f>G106+G107+G108+G109+G110</f>
        <v>10300</v>
      </c>
      <c r="H105" s="64">
        <v>0</v>
      </c>
      <c r="I105" s="116">
        <v>0</v>
      </c>
      <c r="J105" s="64">
        <v>0</v>
      </c>
      <c r="K105" s="64">
        <v>0</v>
      </c>
      <c r="L105" s="64">
        <v>0</v>
      </c>
      <c r="M105" s="64">
        <v>0</v>
      </c>
      <c r="N105" s="64">
        <v>0</v>
      </c>
      <c r="O105" s="64">
        <v>0</v>
      </c>
      <c r="P105" s="64">
        <v>0</v>
      </c>
      <c r="Q105" s="126">
        <f t="shared" si="2"/>
        <v>21100</v>
      </c>
      <c r="R105" s="192"/>
      <c r="S105" s="192">
        <f>108000/M20</f>
        <v>14334.063308779612</v>
      </c>
      <c r="T105" s="198">
        <f>78246.26/M20</f>
        <v>10385.063375141017</v>
      </c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  <c r="BF105" s="31"/>
      <c r="BG105" s="31"/>
      <c r="BH105" s="31"/>
      <c r="BI105" s="31"/>
      <c r="BJ105" s="31"/>
      <c r="BK105" s="31"/>
      <c r="BL105" s="31"/>
      <c r="BM105" s="31"/>
    </row>
    <row r="106" spans="1:65" x14ac:dyDescent="0.3">
      <c r="A106" s="96">
        <v>32352</v>
      </c>
      <c r="B106" s="39" t="s">
        <v>105</v>
      </c>
      <c r="C106" s="127">
        <v>12500</v>
      </c>
      <c r="D106" s="67">
        <v>0</v>
      </c>
      <c r="E106" s="67">
        <v>10000</v>
      </c>
      <c r="F106" s="67">
        <v>0</v>
      </c>
      <c r="G106" s="121">
        <v>2500</v>
      </c>
      <c r="H106" s="67">
        <v>0</v>
      </c>
      <c r="I106" s="67">
        <v>0</v>
      </c>
      <c r="J106" s="67">
        <v>0</v>
      </c>
      <c r="K106" s="67">
        <v>0</v>
      </c>
      <c r="L106" s="67">
        <v>0</v>
      </c>
      <c r="M106" s="67">
        <v>0</v>
      </c>
      <c r="N106" s="67">
        <v>0</v>
      </c>
      <c r="O106" s="67">
        <v>0</v>
      </c>
      <c r="P106" s="67">
        <v>0</v>
      </c>
      <c r="Q106" s="127">
        <f t="shared" si="2"/>
        <v>12500</v>
      </c>
      <c r="R106" s="128"/>
      <c r="S106" s="128">
        <f>45000/M20</f>
        <v>5972.5263786581718</v>
      </c>
      <c r="T106" s="176">
        <f>40000/M20</f>
        <v>5308.9123365850419</v>
      </c>
    </row>
    <row r="107" spans="1:65" x14ac:dyDescent="0.3">
      <c r="A107" s="96">
        <v>32353</v>
      </c>
      <c r="B107" s="39" t="s">
        <v>106</v>
      </c>
      <c r="C107" s="127">
        <v>3300</v>
      </c>
      <c r="D107" s="67">
        <v>0</v>
      </c>
      <c r="E107" s="67">
        <v>800</v>
      </c>
      <c r="F107" s="67">
        <v>0</v>
      </c>
      <c r="G107" s="121">
        <v>2500</v>
      </c>
      <c r="H107" s="67">
        <v>0</v>
      </c>
      <c r="I107" s="67">
        <v>0</v>
      </c>
      <c r="J107" s="67">
        <v>0</v>
      </c>
      <c r="K107" s="67">
        <v>0</v>
      </c>
      <c r="L107" s="67">
        <v>0</v>
      </c>
      <c r="M107" s="67">
        <v>0</v>
      </c>
      <c r="N107" s="67">
        <v>0</v>
      </c>
      <c r="O107" s="67">
        <v>0</v>
      </c>
      <c r="P107" s="67">
        <v>0</v>
      </c>
      <c r="Q107" s="127">
        <f t="shared" si="2"/>
        <v>3300</v>
      </c>
      <c r="R107" s="128"/>
      <c r="S107" s="128">
        <f>16000/M20</f>
        <v>2123.5649346340169</v>
      </c>
      <c r="T107" s="176">
        <f>18750/M20</f>
        <v>2488.5526577742385</v>
      </c>
    </row>
    <row r="108" spans="1:65" x14ac:dyDescent="0.3">
      <c r="A108" s="96">
        <v>32354</v>
      </c>
      <c r="B108" s="39" t="s">
        <v>158</v>
      </c>
      <c r="C108" s="127">
        <v>700</v>
      </c>
      <c r="D108" s="67">
        <v>0</v>
      </c>
      <c r="E108" s="67">
        <v>0</v>
      </c>
      <c r="F108" s="67">
        <v>0</v>
      </c>
      <c r="G108" s="121">
        <v>700</v>
      </c>
      <c r="H108" s="67">
        <v>0</v>
      </c>
      <c r="I108" s="67">
        <v>0</v>
      </c>
      <c r="J108" s="67">
        <v>0</v>
      </c>
      <c r="K108" s="67">
        <v>0</v>
      </c>
      <c r="L108" s="67">
        <v>0</v>
      </c>
      <c r="M108" s="67">
        <v>0</v>
      </c>
      <c r="N108" s="67">
        <v>0</v>
      </c>
      <c r="O108" s="67">
        <v>0</v>
      </c>
      <c r="P108" s="67">
        <v>0</v>
      </c>
      <c r="Q108" s="127">
        <f t="shared" si="2"/>
        <v>700</v>
      </c>
      <c r="R108" s="128"/>
      <c r="S108" s="128">
        <f>5000/M20</f>
        <v>663.61404207313024</v>
      </c>
      <c r="T108" s="176">
        <v>0</v>
      </c>
    </row>
    <row r="109" spans="1:65" ht="36.75" x14ac:dyDescent="0.3">
      <c r="A109" s="96">
        <v>32355</v>
      </c>
      <c r="B109" s="40" t="s">
        <v>138</v>
      </c>
      <c r="C109" s="127">
        <v>4000</v>
      </c>
      <c r="D109" s="67">
        <v>0</v>
      </c>
      <c r="E109" s="67">
        <v>0</v>
      </c>
      <c r="F109" s="67">
        <v>0</v>
      </c>
      <c r="G109" s="121">
        <v>4000</v>
      </c>
      <c r="H109" s="67">
        <v>0</v>
      </c>
      <c r="I109" s="67">
        <v>0</v>
      </c>
      <c r="J109" s="67">
        <v>0</v>
      </c>
      <c r="K109" s="67">
        <v>0</v>
      </c>
      <c r="L109" s="67">
        <v>0</v>
      </c>
      <c r="M109" s="67">
        <v>0</v>
      </c>
      <c r="N109" s="67">
        <v>0</v>
      </c>
      <c r="O109" s="67">
        <v>0</v>
      </c>
      <c r="P109" s="67">
        <v>0</v>
      </c>
      <c r="Q109" s="127">
        <f t="shared" si="2"/>
        <v>4000</v>
      </c>
      <c r="R109" s="128"/>
      <c r="S109" s="128">
        <f>32000/M20</f>
        <v>4247.1298692680339</v>
      </c>
      <c r="T109" s="176">
        <f>15496.26/M20</f>
        <v>2056.707147123233</v>
      </c>
    </row>
    <row r="110" spans="1:65" x14ac:dyDescent="0.3">
      <c r="A110" s="96">
        <v>32359</v>
      </c>
      <c r="B110" s="39" t="s">
        <v>134</v>
      </c>
      <c r="C110" s="127">
        <v>600</v>
      </c>
      <c r="D110" s="67">
        <v>0</v>
      </c>
      <c r="E110" s="67">
        <v>0</v>
      </c>
      <c r="F110" s="67">
        <v>0</v>
      </c>
      <c r="G110" s="121">
        <v>600</v>
      </c>
      <c r="H110" s="67">
        <v>0</v>
      </c>
      <c r="I110" s="67">
        <v>0</v>
      </c>
      <c r="J110" s="67">
        <v>0</v>
      </c>
      <c r="K110" s="67">
        <v>0</v>
      </c>
      <c r="L110" s="67">
        <v>0</v>
      </c>
      <c r="M110" s="67">
        <v>0</v>
      </c>
      <c r="N110" s="67">
        <v>0</v>
      </c>
      <c r="O110" s="67">
        <v>0</v>
      </c>
      <c r="P110" s="67">
        <v>0</v>
      </c>
      <c r="Q110" s="127">
        <f t="shared" si="2"/>
        <v>600</v>
      </c>
      <c r="R110" s="128"/>
      <c r="S110" s="128">
        <f>10000/M20</f>
        <v>1327.2280841462605</v>
      </c>
      <c r="T110" s="176">
        <f>4000/M20</f>
        <v>530.89123365850423</v>
      </c>
    </row>
    <row r="111" spans="1:65" s="36" customFormat="1" x14ac:dyDescent="0.3">
      <c r="A111" s="95">
        <v>3236</v>
      </c>
      <c r="B111" s="37" t="s">
        <v>41</v>
      </c>
      <c r="C111" s="126">
        <v>9500</v>
      </c>
      <c r="D111" s="64">
        <f>D112</f>
        <v>4100</v>
      </c>
      <c r="E111" s="116">
        <v>0</v>
      </c>
      <c r="F111" s="64">
        <v>0</v>
      </c>
      <c r="G111" s="120">
        <f>G112</f>
        <v>3900</v>
      </c>
      <c r="H111" s="64">
        <v>0</v>
      </c>
      <c r="I111" s="116">
        <v>1500</v>
      </c>
      <c r="J111" s="64">
        <v>0</v>
      </c>
      <c r="K111" s="64">
        <v>0</v>
      </c>
      <c r="L111" s="64">
        <v>0</v>
      </c>
      <c r="M111" s="64">
        <v>0</v>
      </c>
      <c r="N111" s="64">
        <v>0</v>
      </c>
      <c r="O111" s="64">
        <v>0</v>
      </c>
      <c r="P111" s="64">
        <v>0</v>
      </c>
      <c r="Q111" s="126">
        <f t="shared" si="2"/>
        <v>9500</v>
      </c>
      <c r="R111" s="192"/>
      <c r="S111" s="192">
        <f>15000/M20</f>
        <v>1990.8421262193906</v>
      </c>
      <c r="T111" s="198">
        <f>15755/M20</f>
        <v>2091.0478465724332</v>
      </c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  <c r="AV111" s="31"/>
      <c r="AW111" s="31"/>
      <c r="AX111" s="31"/>
      <c r="AY111" s="31"/>
      <c r="AZ111" s="31"/>
      <c r="BA111" s="31"/>
      <c r="BB111" s="31"/>
      <c r="BC111" s="31"/>
      <c r="BD111" s="31"/>
      <c r="BE111" s="31"/>
      <c r="BF111" s="31"/>
      <c r="BG111" s="31"/>
      <c r="BH111" s="31"/>
      <c r="BI111" s="31"/>
      <c r="BJ111" s="31"/>
      <c r="BK111" s="31"/>
      <c r="BL111" s="31"/>
      <c r="BM111" s="31"/>
    </row>
    <row r="112" spans="1:65" x14ac:dyDescent="0.3">
      <c r="A112" s="96">
        <v>32361</v>
      </c>
      <c r="B112" s="39" t="s">
        <v>107</v>
      </c>
      <c r="C112" s="127">
        <v>8000</v>
      </c>
      <c r="D112" s="67">
        <v>4100</v>
      </c>
      <c r="E112" s="67">
        <v>0</v>
      </c>
      <c r="F112" s="67">
        <v>0</v>
      </c>
      <c r="G112" s="121">
        <v>3900</v>
      </c>
      <c r="H112" s="67">
        <v>0</v>
      </c>
      <c r="I112" s="67">
        <v>0</v>
      </c>
      <c r="J112" s="67">
        <v>0</v>
      </c>
      <c r="K112" s="67">
        <v>0</v>
      </c>
      <c r="L112" s="67">
        <v>0</v>
      </c>
      <c r="M112" s="67">
        <v>0</v>
      </c>
      <c r="N112" s="67">
        <v>0</v>
      </c>
      <c r="O112" s="67">
        <v>0</v>
      </c>
      <c r="P112" s="67">
        <v>0</v>
      </c>
      <c r="Q112" s="127">
        <f t="shared" si="2"/>
        <v>8000</v>
      </c>
      <c r="R112" s="128"/>
      <c r="S112" s="128">
        <f>15000/M20</f>
        <v>1990.8421262193906</v>
      </c>
      <c r="T112" s="176">
        <f>5835/M20</f>
        <v>774.43758709934298</v>
      </c>
    </row>
    <row r="113" spans="1:65" x14ac:dyDescent="0.3">
      <c r="A113" s="194">
        <v>32363</v>
      </c>
      <c r="B113" s="195" t="s">
        <v>209</v>
      </c>
      <c r="C113" s="127">
        <v>1500</v>
      </c>
      <c r="D113" s="67">
        <v>0</v>
      </c>
      <c r="E113" s="67">
        <v>0</v>
      </c>
      <c r="F113" s="67">
        <v>0</v>
      </c>
      <c r="G113" s="121">
        <v>0</v>
      </c>
      <c r="H113" s="67">
        <v>0</v>
      </c>
      <c r="I113" s="67">
        <v>1500</v>
      </c>
      <c r="J113" s="67">
        <v>0</v>
      </c>
      <c r="K113" s="67">
        <v>0</v>
      </c>
      <c r="L113" s="67">
        <v>0</v>
      </c>
      <c r="M113" s="67">
        <v>0</v>
      </c>
      <c r="N113" s="67">
        <v>0</v>
      </c>
      <c r="O113" s="67">
        <v>0</v>
      </c>
      <c r="P113" s="67">
        <v>0</v>
      </c>
      <c r="Q113" s="127">
        <f t="shared" si="2"/>
        <v>1500</v>
      </c>
      <c r="R113" s="128"/>
      <c r="S113" s="128">
        <v>0</v>
      </c>
      <c r="T113" s="176">
        <f>9920/M20</f>
        <v>1316.6102594730903</v>
      </c>
    </row>
    <row r="114" spans="1:65" s="36" customFormat="1" x14ac:dyDescent="0.3">
      <c r="A114" s="95">
        <v>3237</v>
      </c>
      <c r="B114" s="37" t="s">
        <v>42</v>
      </c>
      <c r="C114" s="126">
        <v>31200</v>
      </c>
      <c r="D114" s="64">
        <f>D115+D116</f>
        <v>7000</v>
      </c>
      <c r="E114" s="116">
        <v>0</v>
      </c>
      <c r="F114" s="64">
        <v>0</v>
      </c>
      <c r="G114" s="120">
        <f>G115+G116+G117+G119</f>
        <v>10200</v>
      </c>
      <c r="H114" s="64">
        <v>0</v>
      </c>
      <c r="I114" s="118">
        <f>I116</f>
        <v>14000</v>
      </c>
      <c r="J114" s="64">
        <v>0</v>
      </c>
      <c r="K114" s="64">
        <v>0</v>
      </c>
      <c r="L114" s="64">
        <v>0</v>
      </c>
      <c r="M114" s="64">
        <v>0</v>
      </c>
      <c r="N114" s="64">
        <v>0</v>
      </c>
      <c r="O114" s="64">
        <v>0</v>
      </c>
      <c r="P114" s="64">
        <v>0</v>
      </c>
      <c r="Q114" s="126">
        <f t="shared" si="2"/>
        <v>31200</v>
      </c>
      <c r="R114" s="192"/>
      <c r="S114" s="192">
        <f>280000/M20</f>
        <v>37162.386356095296</v>
      </c>
      <c r="T114" s="198">
        <f>115495.21/M20</f>
        <v>15328.848629637003</v>
      </c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  <c r="BF114" s="31"/>
      <c r="BG114" s="31"/>
      <c r="BH114" s="31"/>
      <c r="BI114" s="31"/>
      <c r="BJ114" s="31"/>
      <c r="BK114" s="31"/>
      <c r="BL114" s="31"/>
      <c r="BM114" s="31"/>
    </row>
    <row r="115" spans="1:65" x14ac:dyDescent="0.3">
      <c r="A115" s="96">
        <v>32371</v>
      </c>
      <c r="B115" s="39" t="s">
        <v>108</v>
      </c>
      <c r="C115" s="127">
        <v>0</v>
      </c>
      <c r="D115" s="67">
        <v>0</v>
      </c>
      <c r="E115" s="67">
        <v>0</v>
      </c>
      <c r="F115" s="67">
        <v>0</v>
      </c>
      <c r="G115" s="121">
        <v>0</v>
      </c>
      <c r="H115" s="67">
        <v>0</v>
      </c>
      <c r="I115" s="60">
        <v>0</v>
      </c>
      <c r="J115" s="67">
        <v>0</v>
      </c>
      <c r="K115" s="67">
        <v>0</v>
      </c>
      <c r="L115" s="67">
        <v>0</v>
      </c>
      <c r="M115" s="67">
        <v>0</v>
      </c>
      <c r="N115" s="67">
        <v>0</v>
      </c>
      <c r="O115" s="67">
        <v>0</v>
      </c>
      <c r="P115" s="67">
        <v>0</v>
      </c>
      <c r="Q115" s="127">
        <f t="shared" si="2"/>
        <v>0</v>
      </c>
      <c r="R115" s="128"/>
      <c r="S115" s="128">
        <f>10000/M20</f>
        <v>1327.2280841462605</v>
      </c>
      <c r="T115" s="176">
        <f>13683.72/M20</f>
        <v>1816.1417479593865</v>
      </c>
    </row>
    <row r="116" spans="1:65" x14ac:dyDescent="0.3">
      <c r="A116" s="96">
        <v>32372</v>
      </c>
      <c r="B116" s="39" t="s">
        <v>109</v>
      </c>
      <c r="C116" s="127">
        <v>31000</v>
      </c>
      <c r="D116" s="67">
        <v>7000</v>
      </c>
      <c r="E116" s="67">
        <v>0</v>
      </c>
      <c r="F116" s="67">
        <v>0</v>
      </c>
      <c r="G116" s="121">
        <v>10000</v>
      </c>
      <c r="H116" s="67">
        <v>0</v>
      </c>
      <c r="I116" s="60">
        <v>14000</v>
      </c>
      <c r="J116" s="67">
        <v>0</v>
      </c>
      <c r="K116" s="67">
        <v>0</v>
      </c>
      <c r="L116" s="67">
        <v>0</v>
      </c>
      <c r="M116" s="67">
        <v>0</v>
      </c>
      <c r="N116" s="67">
        <v>0</v>
      </c>
      <c r="O116" s="67">
        <v>0</v>
      </c>
      <c r="P116" s="67">
        <v>0</v>
      </c>
      <c r="Q116" s="127">
        <f t="shared" si="2"/>
        <v>31000</v>
      </c>
      <c r="R116" s="128"/>
      <c r="S116" s="128">
        <f>250000/M20</f>
        <v>33180.702103656513</v>
      </c>
      <c r="T116" s="176">
        <f>101811.49/M20</f>
        <v>13512.706881677615</v>
      </c>
    </row>
    <row r="117" spans="1:65" x14ac:dyDescent="0.3">
      <c r="A117" s="96">
        <v>32373</v>
      </c>
      <c r="B117" s="39" t="s">
        <v>110</v>
      </c>
      <c r="C117" s="127">
        <v>200</v>
      </c>
      <c r="D117" s="67">
        <v>0</v>
      </c>
      <c r="E117" s="67">
        <v>0</v>
      </c>
      <c r="F117" s="67">
        <v>0</v>
      </c>
      <c r="G117" s="121">
        <v>200</v>
      </c>
      <c r="H117" s="67">
        <v>0</v>
      </c>
      <c r="I117" s="60">
        <v>0</v>
      </c>
      <c r="J117" s="67">
        <v>0</v>
      </c>
      <c r="K117" s="67">
        <v>0</v>
      </c>
      <c r="L117" s="67">
        <v>0</v>
      </c>
      <c r="M117" s="67">
        <v>0</v>
      </c>
      <c r="N117" s="67">
        <v>0</v>
      </c>
      <c r="O117" s="67">
        <v>0</v>
      </c>
      <c r="P117" s="67">
        <v>0</v>
      </c>
      <c r="Q117" s="127">
        <f t="shared" si="2"/>
        <v>200</v>
      </c>
      <c r="R117" s="128"/>
      <c r="S117" s="128">
        <f>5000/M20</f>
        <v>663.61404207313024</v>
      </c>
      <c r="T117" s="176">
        <v>0</v>
      </c>
    </row>
    <row r="118" spans="1:65" x14ac:dyDescent="0.3">
      <c r="A118" s="96">
        <v>32377</v>
      </c>
      <c r="B118" s="39" t="s">
        <v>155</v>
      </c>
      <c r="C118" s="127">
        <v>0</v>
      </c>
      <c r="D118" s="67">
        <v>0</v>
      </c>
      <c r="E118" s="67">
        <v>0</v>
      </c>
      <c r="F118" s="67">
        <v>0</v>
      </c>
      <c r="G118" s="121">
        <v>0</v>
      </c>
      <c r="H118" s="67">
        <v>0</v>
      </c>
      <c r="I118" s="60">
        <v>0</v>
      </c>
      <c r="J118" s="67">
        <v>0</v>
      </c>
      <c r="K118" s="67">
        <v>0</v>
      </c>
      <c r="L118" s="67">
        <v>0</v>
      </c>
      <c r="M118" s="67">
        <v>0</v>
      </c>
      <c r="N118" s="67">
        <v>0</v>
      </c>
      <c r="O118" s="67">
        <v>0</v>
      </c>
      <c r="P118" s="67">
        <v>0</v>
      </c>
      <c r="Q118" s="127">
        <f t="shared" ref="Q118:Q149" si="3">SUM(D118:P118)</f>
        <v>0</v>
      </c>
      <c r="R118" s="128"/>
      <c r="S118" s="128">
        <f>5000/M20</f>
        <v>663.61404207313024</v>
      </c>
      <c r="T118" s="176">
        <v>0</v>
      </c>
    </row>
    <row r="119" spans="1:65" ht="19.5" customHeight="1" x14ac:dyDescent="0.3">
      <c r="A119" s="96">
        <v>32379</v>
      </c>
      <c r="B119" s="39" t="s">
        <v>111</v>
      </c>
      <c r="C119" s="127">
        <v>0</v>
      </c>
      <c r="D119" s="67">
        <v>0</v>
      </c>
      <c r="E119" s="67">
        <v>0</v>
      </c>
      <c r="F119" s="67">
        <v>0</v>
      </c>
      <c r="G119" s="121">
        <v>0</v>
      </c>
      <c r="H119" s="67">
        <v>0</v>
      </c>
      <c r="I119" s="60">
        <v>0</v>
      </c>
      <c r="J119" s="67">
        <v>0</v>
      </c>
      <c r="K119" s="67">
        <v>0</v>
      </c>
      <c r="L119" s="67">
        <v>0</v>
      </c>
      <c r="M119" s="67">
        <v>0</v>
      </c>
      <c r="N119" s="67">
        <v>0</v>
      </c>
      <c r="O119" s="67">
        <v>0</v>
      </c>
      <c r="P119" s="67">
        <v>0</v>
      </c>
      <c r="Q119" s="127">
        <f t="shared" si="3"/>
        <v>0</v>
      </c>
      <c r="R119" s="128"/>
      <c r="S119" s="128">
        <f>10000/M20</f>
        <v>1327.2280841462605</v>
      </c>
      <c r="T119" s="176">
        <v>0</v>
      </c>
    </row>
    <row r="120" spans="1:65" s="36" customFormat="1" x14ac:dyDescent="0.3">
      <c r="A120" s="95">
        <v>3238</v>
      </c>
      <c r="B120" s="37" t="s">
        <v>43</v>
      </c>
      <c r="C120" s="126">
        <v>3500</v>
      </c>
      <c r="D120" s="64">
        <f>D123</f>
        <v>0</v>
      </c>
      <c r="E120" s="116">
        <v>0</v>
      </c>
      <c r="F120" s="64">
        <v>0</v>
      </c>
      <c r="G120" s="120">
        <f>G121+G123</f>
        <v>3500</v>
      </c>
      <c r="H120" s="64">
        <v>0</v>
      </c>
      <c r="I120" s="118">
        <v>0</v>
      </c>
      <c r="J120" s="64">
        <v>0</v>
      </c>
      <c r="K120" s="64">
        <v>0</v>
      </c>
      <c r="L120" s="64">
        <v>0</v>
      </c>
      <c r="M120" s="64">
        <v>0</v>
      </c>
      <c r="N120" s="64">
        <v>0</v>
      </c>
      <c r="O120" s="64">
        <v>0</v>
      </c>
      <c r="P120" s="64">
        <v>0</v>
      </c>
      <c r="Q120" s="126">
        <f t="shared" si="3"/>
        <v>3500</v>
      </c>
      <c r="R120" s="192"/>
      <c r="S120" s="192">
        <f>32000/M20</f>
        <v>4247.1298692680339</v>
      </c>
      <c r="T120" s="198">
        <f>10350/M20</f>
        <v>1373.6810670913796</v>
      </c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  <c r="AV120" s="31"/>
      <c r="AW120" s="31"/>
      <c r="AX120" s="31"/>
      <c r="AY120" s="31"/>
      <c r="AZ120" s="31"/>
      <c r="BA120" s="31"/>
      <c r="BB120" s="31"/>
      <c r="BC120" s="31"/>
      <c r="BD120" s="31"/>
      <c r="BE120" s="31"/>
      <c r="BF120" s="31"/>
      <c r="BG120" s="31"/>
      <c r="BH120" s="31"/>
      <c r="BI120" s="31"/>
      <c r="BJ120" s="31"/>
      <c r="BK120" s="31"/>
      <c r="BL120" s="31"/>
      <c r="BM120" s="31"/>
    </row>
    <row r="121" spans="1:65" s="31" customFormat="1" x14ac:dyDescent="0.3">
      <c r="A121" s="97">
        <v>32381</v>
      </c>
      <c r="B121" s="41" t="s">
        <v>133</v>
      </c>
      <c r="C121" s="127">
        <v>0</v>
      </c>
      <c r="D121" s="66">
        <v>0</v>
      </c>
      <c r="E121" s="117">
        <v>0</v>
      </c>
      <c r="F121" s="66">
        <v>0</v>
      </c>
      <c r="G121" s="121">
        <v>0</v>
      </c>
      <c r="H121" s="66">
        <v>0</v>
      </c>
      <c r="I121" s="129">
        <v>0</v>
      </c>
      <c r="J121" s="66">
        <v>0</v>
      </c>
      <c r="K121" s="66">
        <v>0</v>
      </c>
      <c r="L121" s="66">
        <v>0</v>
      </c>
      <c r="M121" s="66">
        <v>0</v>
      </c>
      <c r="N121" s="66">
        <v>0</v>
      </c>
      <c r="O121" s="66">
        <v>0</v>
      </c>
      <c r="P121" s="66">
        <v>0</v>
      </c>
      <c r="Q121" s="127">
        <f t="shared" si="3"/>
        <v>0</v>
      </c>
      <c r="R121" s="128"/>
      <c r="S121" s="128">
        <f>5000/M20</f>
        <v>663.61404207313024</v>
      </c>
      <c r="T121" s="176">
        <v>0</v>
      </c>
    </row>
    <row r="122" spans="1:65" x14ac:dyDescent="0.3">
      <c r="A122" s="96">
        <v>32382</v>
      </c>
      <c r="B122" s="39" t="s">
        <v>112</v>
      </c>
      <c r="C122" s="127">
        <v>0</v>
      </c>
      <c r="D122" s="67">
        <v>0</v>
      </c>
      <c r="E122" s="67">
        <v>0</v>
      </c>
      <c r="F122" s="67">
        <v>0</v>
      </c>
      <c r="G122" s="121">
        <v>0</v>
      </c>
      <c r="H122" s="67">
        <v>0</v>
      </c>
      <c r="I122" s="60">
        <v>0</v>
      </c>
      <c r="J122" s="67">
        <v>0</v>
      </c>
      <c r="K122" s="67">
        <v>0</v>
      </c>
      <c r="L122" s="67">
        <v>0</v>
      </c>
      <c r="M122" s="67">
        <v>0</v>
      </c>
      <c r="N122" s="67">
        <v>0</v>
      </c>
      <c r="O122" s="67">
        <v>0</v>
      </c>
      <c r="P122" s="67">
        <v>0</v>
      </c>
      <c r="Q122" s="127">
        <f t="shared" si="3"/>
        <v>0</v>
      </c>
      <c r="R122" s="128"/>
      <c r="S122" s="128">
        <f>5000/M20</f>
        <v>663.61404207313024</v>
      </c>
      <c r="T122" s="176">
        <v>0</v>
      </c>
    </row>
    <row r="123" spans="1:65" x14ac:dyDescent="0.3">
      <c r="A123" s="96">
        <v>32389</v>
      </c>
      <c r="B123" s="39" t="s">
        <v>113</v>
      </c>
      <c r="C123" s="127">
        <v>3500</v>
      </c>
      <c r="D123" s="67">
        <v>0</v>
      </c>
      <c r="E123" s="67">
        <v>0</v>
      </c>
      <c r="F123" s="67">
        <v>0</v>
      </c>
      <c r="G123" s="121">
        <v>3500</v>
      </c>
      <c r="H123" s="67">
        <v>0</v>
      </c>
      <c r="I123" s="60">
        <v>0</v>
      </c>
      <c r="J123" s="67">
        <v>0</v>
      </c>
      <c r="K123" s="67">
        <v>0</v>
      </c>
      <c r="L123" s="67">
        <v>0</v>
      </c>
      <c r="M123" s="67">
        <v>0</v>
      </c>
      <c r="N123" s="67">
        <v>0</v>
      </c>
      <c r="O123" s="67">
        <v>0</v>
      </c>
      <c r="P123" s="67">
        <v>0</v>
      </c>
      <c r="Q123" s="127">
        <f t="shared" si="3"/>
        <v>3500</v>
      </c>
      <c r="R123" s="128"/>
      <c r="S123" s="128">
        <f>22000/M20</f>
        <v>2919.9017851217732</v>
      </c>
      <c r="T123" s="176">
        <f>10350/M20</f>
        <v>1373.6810670913796</v>
      </c>
    </row>
    <row r="124" spans="1:65" s="36" customFormat="1" x14ac:dyDescent="0.3">
      <c r="A124" s="95">
        <v>3239</v>
      </c>
      <c r="B124" s="37" t="s">
        <v>44</v>
      </c>
      <c r="C124" s="126">
        <v>5700</v>
      </c>
      <c r="D124" s="64">
        <f>D125+D126+D130</f>
        <v>4000</v>
      </c>
      <c r="E124" s="116">
        <v>0</v>
      </c>
      <c r="F124" s="64">
        <v>0</v>
      </c>
      <c r="G124" s="120">
        <f>G125+G126+G127+G128+G130</f>
        <v>1700</v>
      </c>
      <c r="H124" s="64">
        <v>0</v>
      </c>
      <c r="I124" s="116">
        <v>0</v>
      </c>
      <c r="J124" s="64">
        <v>0</v>
      </c>
      <c r="K124" s="64">
        <v>0</v>
      </c>
      <c r="L124" s="64">
        <v>0</v>
      </c>
      <c r="M124" s="64">
        <v>0</v>
      </c>
      <c r="N124" s="64">
        <v>0</v>
      </c>
      <c r="O124" s="64">
        <v>0</v>
      </c>
      <c r="P124" s="64">
        <v>0</v>
      </c>
      <c r="Q124" s="126">
        <f t="shared" si="3"/>
        <v>5700</v>
      </c>
      <c r="R124" s="192"/>
      <c r="S124" s="192">
        <f>39000/M20</f>
        <v>5176.1895281704155</v>
      </c>
      <c r="T124" s="198">
        <f>17369.4/M20</f>
        <v>2305.3155484770059</v>
      </c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  <c r="AV124" s="31"/>
      <c r="AW124" s="31"/>
      <c r="AX124" s="31"/>
      <c r="AY124" s="31"/>
      <c r="AZ124" s="31"/>
      <c r="BA124" s="31"/>
      <c r="BB124" s="31"/>
      <c r="BC124" s="31"/>
      <c r="BD124" s="31"/>
      <c r="BE124" s="31"/>
      <c r="BF124" s="31"/>
      <c r="BG124" s="31"/>
      <c r="BH124" s="31"/>
      <c r="BI124" s="31"/>
      <c r="BJ124" s="31"/>
      <c r="BK124" s="31"/>
      <c r="BL124" s="31"/>
      <c r="BM124" s="31"/>
    </row>
    <row r="125" spans="1:65" ht="36.75" x14ac:dyDescent="0.3">
      <c r="A125" s="96">
        <v>32391</v>
      </c>
      <c r="B125" s="40" t="s">
        <v>121</v>
      </c>
      <c r="C125" s="127">
        <v>2500</v>
      </c>
      <c r="D125" s="67">
        <v>2500</v>
      </c>
      <c r="E125" s="67">
        <v>0</v>
      </c>
      <c r="F125" s="67">
        <v>0</v>
      </c>
      <c r="G125" s="121">
        <v>0</v>
      </c>
      <c r="H125" s="67">
        <v>0</v>
      </c>
      <c r="I125" s="67">
        <v>0</v>
      </c>
      <c r="J125" s="67">
        <v>0</v>
      </c>
      <c r="K125" s="67">
        <v>0</v>
      </c>
      <c r="L125" s="67">
        <v>0</v>
      </c>
      <c r="M125" s="67">
        <v>0</v>
      </c>
      <c r="N125" s="67">
        <v>0</v>
      </c>
      <c r="O125" s="67">
        <v>0</v>
      </c>
      <c r="P125" s="67">
        <v>0</v>
      </c>
      <c r="Q125" s="127">
        <f t="shared" si="3"/>
        <v>2500</v>
      </c>
      <c r="R125" s="128"/>
      <c r="S125" s="128">
        <f>19000/M20</f>
        <v>2521.7333598778951</v>
      </c>
      <c r="T125" s="176">
        <f>7824.15/M20</f>
        <v>1038.4431614572964</v>
      </c>
    </row>
    <row r="126" spans="1:65" x14ac:dyDescent="0.3">
      <c r="A126" s="96">
        <v>32392</v>
      </c>
      <c r="B126" s="39" t="s">
        <v>114</v>
      </c>
      <c r="C126" s="127">
        <v>0</v>
      </c>
      <c r="D126" s="67">
        <v>0</v>
      </c>
      <c r="E126" s="67">
        <v>0</v>
      </c>
      <c r="F126" s="67">
        <v>0</v>
      </c>
      <c r="G126" s="121">
        <v>0</v>
      </c>
      <c r="H126" s="67">
        <v>0</v>
      </c>
      <c r="I126" s="67">
        <v>0</v>
      </c>
      <c r="J126" s="67">
        <v>0</v>
      </c>
      <c r="K126" s="67">
        <v>0</v>
      </c>
      <c r="L126" s="67">
        <v>0</v>
      </c>
      <c r="M126" s="67">
        <v>0</v>
      </c>
      <c r="N126" s="67">
        <v>0</v>
      </c>
      <c r="O126" s="67">
        <v>0</v>
      </c>
      <c r="P126" s="67">
        <v>0</v>
      </c>
      <c r="Q126" s="127">
        <f t="shared" si="3"/>
        <v>0</v>
      </c>
      <c r="R126" s="128"/>
      <c r="S126" s="128">
        <f>5000/M20</f>
        <v>663.61404207313024</v>
      </c>
      <c r="T126" s="176">
        <f>3500/M20</f>
        <v>464.52982945119118</v>
      </c>
    </row>
    <row r="127" spans="1:65" x14ac:dyDescent="0.3">
      <c r="A127" s="96">
        <v>32394</v>
      </c>
      <c r="B127" s="39" t="s">
        <v>132</v>
      </c>
      <c r="C127" s="127">
        <v>700</v>
      </c>
      <c r="D127" s="67">
        <v>0</v>
      </c>
      <c r="E127" s="67">
        <v>0</v>
      </c>
      <c r="F127" s="67">
        <v>0</v>
      </c>
      <c r="G127" s="121">
        <v>700</v>
      </c>
      <c r="H127" s="67">
        <v>0</v>
      </c>
      <c r="I127" s="67">
        <v>0</v>
      </c>
      <c r="J127" s="67">
        <v>0</v>
      </c>
      <c r="K127" s="67">
        <v>0</v>
      </c>
      <c r="L127" s="67">
        <v>0</v>
      </c>
      <c r="M127" s="67">
        <v>0</v>
      </c>
      <c r="N127" s="67">
        <v>0</v>
      </c>
      <c r="O127" s="67">
        <v>0</v>
      </c>
      <c r="P127" s="67">
        <v>0</v>
      </c>
      <c r="Q127" s="127">
        <f t="shared" si="3"/>
        <v>700</v>
      </c>
      <c r="R127" s="128"/>
      <c r="S127" s="128">
        <f>3000/M20</f>
        <v>398.16842524387812</v>
      </c>
      <c r="T127" s="176">
        <f>1884.25/M20</f>
        <v>250.08295175525913</v>
      </c>
    </row>
    <row r="128" spans="1:65" x14ac:dyDescent="0.3">
      <c r="A128" s="96">
        <v>32395</v>
      </c>
      <c r="B128" s="39" t="s">
        <v>139</v>
      </c>
      <c r="C128" s="127">
        <v>0</v>
      </c>
      <c r="D128" s="67">
        <v>0</v>
      </c>
      <c r="E128" s="67">
        <v>0</v>
      </c>
      <c r="F128" s="67">
        <v>0</v>
      </c>
      <c r="G128" s="121">
        <v>0</v>
      </c>
      <c r="H128" s="67">
        <v>0</v>
      </c>
      <c r="I128" s="67">
        <v>0</v>
      </c>
      <c r="J128" s="67">
        <v>0</v>
      </c>
      <c r="K128" s="67">
        <v>0</v>
      </c>
      <c r="L128" s="67">
        <v>0</v>
      </c>
      <c r="M128" s="67">
        <v>0</v>
      </c>
      <c r="N128" s="67">
        <v>0</v>
      </c>
      <c r="O128" s="67">
        <v>0</v>
      </c>
      <c r="P128" s="67">
        <v>0</v>
      </c>
      <c r="Q128" s="127">
        <f t="shared" si="3"/>
        <v>0</v>
      </c>
      <c r="R128" s="128"/>
      <c r="S128" s="128">
        <f>1000/M20</f>
        <v>132.72280841462606</v>
      </c>
      <c r="T128" s="176">
        <f>270/M20</f>
        <v>35.835158271949034</v>
      </c>
    </row>
    <row r="129" spans="1:65" x14ac:dyDescent="0.3">
      <c r="A129" s="96">
        <v>32396</v>
      </c>
      <c r="B129" s="39" t="s">
        <v>115</v>
      </c>
      <c r="C129" s="127">
        <v>0</v>
      </c>
      <c r="D129" s="67">
        <v>0</v>
      </c>
      <c r="E129" s="67">
        <v>0</v>
      </c>
      <c r="F129" s="67">
        <v>0</v>
      </c>
      <c r="G129" s="121">
        <v>0</v>
      </c>
      <c r="H129" s="67">
        <v>0</v>
      </c>
      <c r="I129" s="67">
        <v>0</v>
      </c>
      <c r="J129" s="67">
        <v>0</v>
      </c>
      <c r="K129" s="67">
        <v>0</v>
      </c>
      <c r="L129" s="67">
        <v>0</v>
      </c>
      <c r="M129" s="67">
        <v>0</v>
      </c>
      <c r="N129" s="67">
        <v>0</v>
      </c>
      <c r="O129" s="67">
        <v>0</v>
      </c>
      <c r="P129" s="67">
        <v>0</v>
      </c>
      <c r="Q129" s="127">
        <f t="shared" si="3"/>
        <v>0</v>
      </c>
      <c r="R129" s="128"/>
      <c r="S129" s="128">
        <f>1000/M20</f>
        <v>132.72280841462606</v>
      </c>
      <c r="T129" s="176">
        <v>0</v>
      </c>
    </row>
    <row r="130" spans="1:65" ht="19.5" thickBot="1" x14ac:dyDescent="0.35">
      <c r="A130" s="94">
        <v>32399</v>
      </c>
      <c r="B130" s="35" t="s">
        <v>116</v>
      </c>
      <c r="C130" s="125">
        <v>2500</v>
      </c>
      <c r="D130" s="68">
        <v>1500</v>
      </c>
      <c r="E130" s="68">
        <v>0</v>
      </c>
      <c r="F130" s="68">
        <v>0</v>
      </c>
      <c r="G130" s="123">
        <v>1000</v>
      </c>
      <c r="H130" s="68">
        <v>0</v>
      </c>
      <c r="I130" s="68">
        <v>0</v>
      </c>
      <c r="J130" s="68">
        <v>0</v>
      </c>
      <c r="K130" s="68">
        <v>0</v>
      </c>
      <c r="L130" s="68">
        <v>0</v>
      </c>
      <c r="M130" s="68">
        <v>0</v>
      </c>
      <c r="N130" s="68">
        <v>0</v>
      </c>
      <c r="O130" s="68">
        <v>0</v>
      </c>
      <c r="P130" s="68">
        <v>0</v>
      </c>
      <c r="Q130" s="125">
        <f t="shared" si="3"/>
        <v>2500</v>
      </c>
      <c r="R130" s="190"/>
      <c r="S130" s="190">
        <f>10000/M20</f>
        <v>1327.2280841462605</v>
      </c>
      <c r="T130" s="217">
        <f>3891/M20</f>
        <v>516.42444754130997</v>
      </c>
    </row>
    <row r="131" spans="1:65" s="32" customFormat="1" ht="19.5" thickBot="1" x14ac:dyDescent="0.35">
      <c r="A131" s="69">
        <v>324</v>
      </c>
      <c r="B131" s="70" t="s">
        <v>27</v>
      </c>
      <c r="C131" s="182">
        <v>11470</v>
      </c>
      <c r="D131" s="71">
        <f>D132</f>
        <v>4000</v>
      </c>
      <c r="E131" s="119">
        <f>E132</f>
        <v>1470</v>
      </c>
      <c r="F131" s="71">
        <v>0</v>
      </c>
      <c r="G131" s="183">
        <f>G132</f>
        <v>2000</v>
      </c>
      <c r="H131" s="71">
        <v>0</v>
      </c>
      <c r="I131" s="119">
        <f>I132</f>
        <v>4000</v>
      </c>
      <c r="J131" s="71">
        <v>0</v>
      </c>
      <c r="K131" s="71">
        <v>0</v>
      </c>
      <c r="L131" s="71">
        <v>0</v>
      </c>
      <c r="M131" s="71">
        <v>0</v>
      </c>
      <c r="N131" s="71">
        <v>0</v>
      </c>
      <c r="O131" s="71">
        <v>0</v>
      </c>
      <c r="P131" s="71">
        <v>0</v>
      </c>
      <c r="Q131" s="182">
        <f t="shared" si="3"/>
        <v>11470</v>
      </c>
      <c r="R131" s="182"/>
      <c r="S131" s="182">
        <f>47000/V131</f>
        <v>6237.9719954874245</v>
      </c>
      <c r="T131" s="184">
        <f>49237.25/V131</f>
        <v>6534.9060986130462</v>
      </c>
      <c r="U131" s="258" t="s">
        <v>210</v>
      </c>
      <c r="V131" s="259">
        <v>7.5345000000000004</v>
      </c>
      <c r="W131" s="33"/>
      <c r="X131" s="33"/>
      <c r="Y131" s="33"/>
      <c r="Z131" s="33"/>
      <c r="AA131" s="33"/>
      <c r="AB131" s="33"/>
      <c r="AC131" s="33"/>
      <c r="AD131" s="33"/>
      <c r="AE131" s="33"/>
      <c r="AF131" s="33"/>
      <c r="AG131" s="33"/>
      <c r="AH131" s="33"/>
      <c r="AI131" s="33"/>
      <c r="AJ131" s="33"/>
      <c r="AK131" s="33"/>
      <c r="AL131" s="33"/>
      <c r="AM131" s="33"/>
      <c r="AN131" s="33"/>
      <c r="AO131" s="33"/>
      <c r="AP131" s="33"/>
      <c r="AQ131" s="33"/>
      <c r="AR131" s="33"/>
      <c r="AS131" s="33"/>
      <c r="AT131" s="33"/>
      <c r="AU131" s="33"/>
      <c r="AV131" s="33"/>
      <c r="AW131" s="33"/>
      <c r="AX131" s="33"/>
      <c r="AY131" s="33"/>
      <c r="AZ131" s="33"/>
      <c r="BA131" s="33"/>
      <c r="BB131" s="33"/>
      <c r="BC131" s="33"/>
      <c r="BD131" s="33"/>
      <c r="BE131" s="33"/>
      <c r="BF131" s="33"/>
      <c r="BG131" s="33"/>
      <c r="BH131" s="33"/>
      <c r="BI131" s="33"/>
      <c r="BJ131" s="33"/>
      <c r="BK131" s="33"/>
      <c r="BL131" s="33"/>
      <c r="BM131" s="33"/>
    </row>
    <row r="132" spans="1:65" s="36" customFormat="1" x14ac:dyDescent="0.3">
      <c r="A132" s="222">
        <v>3241</v>
      </c>
      <c r="B132" s="236" t="s">
        <v>27</v>
      </c>
      <c r="C132" s="224">
        <v>11470</v>
      </c>
      <c r="D132" s="234">
        <f>D134</f>
        <v>4000</v>
      </c>
      <c r="E132" s="233">
        <f>E134</f>
        <v>1470</v>
      </c>
      <c r="F132" s="234">
        <v>0</v>
      </c>
      <c r="G132" s="228">
        <f>G133+G134</f>
        <v>2000</v>
      </c>
      <c r="H132" s="234">
        <v>0</v>
      </c>
      <c r="I132" s="233">
        <f>I134</f>
        <v>4000</v>
      </c>
      <c r="J132" s="234">
        <v>0</v>
      </c>
      <c r="K132" s="234">
        <v>0</v>
      </c>
      <c r="L132" s="234">
        <v>0</v>
      </c>
      <c r="M132" s="234">
        <v>0</v>
      </c>
      <c r="N132" s="234">
        <v>0</v>
      </c>
      <c r="O132" s="234">
        <v>0</v>
      </c>
      <c r="P132" s="234">
        <v>0</v>
      </c>
      <c r="Q132" s="224">
        <f t="shared" si="3"/>
        <v>11470</v>
      </c>
      <c r="R132" s="191"/>
      <c r="S132" s="191">
        <f>47000/V131</f>
        <v>6237.9719954874245</v>
      </c>
      <c r="T132" s="229">
        <f>49237.25/V131</f>
        <v>6534.9060986130462</v>
      </c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  <c r="AV132" s="31"/>
      <c r="AW132" s="31"/>
      <c r="AX132" s="31"/>
      <c r="AY132" s="31"/>
      <c r="AZ132" s="31"/>
      <c r="BA132" s="31"/>
      <c r="BB132" s="31"/>
      <c r="BC132" s="31"/>
      <c r="BD132" s="31"/>
      <c r="BE132" s="31"/>
      <c r="BF132" s="31"/>
      <c r="BG132" s="31"/>
      <c r="BH132" s="31"/>
      <c r="BI132" s="31"/>
      <c r="BJ132" s="31"/>
      <c r="BK132" s="31"/>
      <c r="BL132" s="31"/>
      <c r="BM132" s="31"/>
    </row>
    <row r="133" spans="1:65" x14ac:dyDescent="0.3">
      <c r="A133" s="96">
        <v>32411</v>
      </c>
      <c r="B133" s="39" t="s">
        <v>122</v>
      </c>
      <c r="C133" s="127">
        <v>500</v>
      </c>
      <c r="D133" s="67">
        <v>0</v>
      </c>
      <c r="E133" s="67">
        <v>0</v>
      </c>
      <c r="F133" s="67">
        <v>0</v>
      </c>
      <c r="G133" s="121">
        <v>500</v>
      </c>
      <c r="H133" s="67">
        <v>0</v>
      </c>
      <c r="I133" s="67">
        <v>0</v>
      </c>
      <c r="J133" s="67">
        <v>0</v>
      </c>
      <c r="K133" s="67">
        <v>0</v>
      </c>
      <c r="L133" s="67">
        <v>0</v>
      </c>
      <c r="M133" s="67">
        <v>0</v>
      </c>
      <c r="N133" s="67">
        <v>0</v>
      </c>
      <c r="O133" s="67">
        <v>0</v>
      </c>
      <c r="P133" s="67">
        <v>0</v>
      </c>
      <c r="Q133" s="127">
        <f t="shared" si="3"/>
        <v>500</v>
      </c>
      <c r="R133" s="128"/>
      <c r="S133" s="128">
        <f>18000/V131</f>
        <v>2389.0105514632687</v>
      </c>
      <c r="T133" s="176">
        <f>2053.04/V131</f>
        <v>272.48523458756387</v>
      </c>
    </row>
    <row r="134" spans="1:65" ht="19.5" thickBot="1" x14ac:dyDescent="0.35">
      <c r="A134" s="94">
        <v>32412</v>
      </c>
      <c r="B134" s="35" t="s">
        <v>131</v>
      </c>
      <c r="C134" s="125">
        <v>10970</v>
      </c>
      <c r="D134" s="68">
        <v>4000</v>
      </c>
      <c r="E134" s="68">
        <v>1470</v>
      </c>
      <c r="F134" s="68">
        <v>0</v>
      </c>
      <c r="G134" s="123">
        <v>1500</v>
      </c>
      <c r="H134" s="68">
        <v>0</v>
      </c>
      <c r="I134" s="68">
        <v>4000</v>
      </c>
      <c r="J134" s="68">
        <v>0</v>
      </c>
      <c r="K134" s="68">
        <v>0</v>
      </c>
      <c r="L134" s="68">
        <v>0</v>
      </c>
      <c r="M134" s="68">
        <v>0</v>
      </c>
      <c r="N134" s="68">
        <v>0</v>
      </c>
      <c r="O134" s="68">
        <v>0</v>
      </c>
      <c r="P134" s="68">
        <v>0</v>
      </c>
      <c r="Q134" s="125">
        <f t="shared" si="3"/>
        <v>10970</v>
      </c>
      <c r="R134" s="190"/>
      <c r="S134" s="190">
        <f>29000/V131</f>
        <v>3848.9614440241553</v>
      </c>
      <c r="T134" s="217">
        <f>47184.21/V131</f>
        <v>6262.4208640254819</v>
      </c>
    </row>
    <row r="135" spans="1:65" s="32" customFormat="1" ht="37.5" thickBot="1" x14ac:dyDescent="0.35">
      <c r="A135" s="69">
        <v>329</v>
      </c>
      <c r="B135" s="230" t="s">
        <v>2</v>
      </c>
      <c r="C135" s="182">
        <v>10300</v>
      </c>
      <c r="D135" s="71">
        <f>D136+D140+D142</f>
        <v>0</v>
      </c>
      <c r="E135" s="71">
        <v>0</v>
      </c>
      <c r="F135" s="71">
        <v>0</v>
      </c>
      <c r="G135" s="183">
        <f>G136+G140+G142+G144+G149+G151</f>
        <v>6600</v>
      </c>
      <c r="H135" s="71">
        <v>0</v>
      </c>
      <c r="I135" s="119">
        <f>I144</f>
        <v>3700</v>
      </c>
      <c r="J135" s="71">
        <v>0</v>
      </c>
      <c r="K135" s="71">
        <v>0</v>
      </c>
      <c r="L135" s="71">
        <v>0</v>
      </c>
      <c r="M135" s="71">
        <v>0</v>
      </c>
      <c r="N135" s="71">
        <v>0</v>
      </c>
      <c r="O135" s="71">
        <v>0</v>
      </c>
      <c r="P135" s="71">
        <v>0</v>
      </c>
      <c r="Q135" s="182">
        <f t="shared" si="3"/>
        <v>10300</v>
      </c>
      <c r="R135" s="182"/>
      <c r="S135" s="182">
        <f>112000/V131</f>
        <v>14864.954542438118</v>
      </c>
      <c r="T135" s="184">
        <f>55666.1/V131</f>
        <v>7388.1611254894151</v>
      </c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F135" s="33"/>
      <c r="AG135" s="33"/>
      <c r="AH135" s="33"/>
      <c r="AI135" s="33"/>
      <c r="AJ135" s="33"/>
      <c r="AK135" s="33"/>
      <c r="AL135" s="33"/>
      <c r="AM135" s="33"/>
      <c r="AN135" s="33"/>
      <c r="AO135" s="33"/>
      <c r="AP135" s="33"/>
      <c r="AQ135" s="33"/>
      <c r="AR135" s="33"/>
      <c r="AS135" s="33"/>
      <c r="AT135" s="33"/>
      <c r="AU135" s="33"/>
      <c r="AV135" s="33"/>
      <c r="AW135" s="33"/>
      <c r="AX135" s="33"/>
      <c r="AY135" s="33"/>
      <c r="AZ135" s="33"/>
      <c r="BA135" s="33"/>
      <c r="BB135" s="33"/>
      <c r="BC135" s="33"/>
      <c r="BD135" s="33"/>
      <c r="BE135" s="33"/>
      <c r="BF135" s="33"/>
      <c r="BG135" s="33"/>
      <c r="BH135" s="33"/>
      <c r="BI135" s="33"/>
      <c r="BJ135" s="33"/>
      <c r="BK135" s="33"/>
      <c r="BL135" s="33"/>
      <c r="BM135" s="33"/>
    </row>
    <row r="136" spans="1:65" s="44" customFormat="1" x14ac:dyDescent="0.3">
      <c r="A136" s="222">
        <v>3292</v>
      </c>
      <c r="B136" s="223" t="s">
        <v>54</v>
      </c>
      <c r="C136" s="224">
        <v>2300</v>
      </c>
      <c r="D136" s="234">
        <f>D138</f>
        <v>0</v>
      </c>
      <c r="E136" s="234">
        <v>0</v>
      </c>
      <c r="F136" s="234">
        <v>0</v>
      </c>
      <c r="G136" s="228">
        <f>G137+G138</f>
        <v>2300</v>
      </c>
      <c r="H136" s="234">
        <v>0</v>
      </c>
      <c r="I136" s="233">
        <v>0</v>
      </c>
      <c r="J136" s="234">
        <v>0</v>
      </c>
      <c r="K136" s="234">
        <v>0</v>
      </c>
      <c r="L136" s="234">
        <v>0</v>
      </c>
      <c r="M136" s="234">
        <v>0</v>
      </c>
      <c r="N136" s="234">
        <v>0</v>
      </c>
      <c r="O136" s="234">
        <v>0</v>
      </c>
      <c r="P136" s="234">
        <v>0</v>
      </c>
      <c r="Q136" s="224">
        <f t="shared" si="3"/>
        <v>2300</v>
      </c>
      <c r="R136" s="191"/>
      <c r="S136" s="191">
        <f>16000/V131</f>
        <v>2123.5649346340169</v>
      </c>
      <c r="T136" s="229">
        <f>8904.1/V131</f>
        <v>1181.7771584046718</v>
      </c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F136" s="33"/>
      <c r="AG136" s="33"/>
      <c r="AH136" s="33"/>
      <c r="AI136" s="33"/>
      <c r="AJ136" s="33"/>
      <c r="AK136" s="33"/>
      <c r="AL136" s="33"/>
      <c r="AM136" s="33"/>
      <c r="AN136" s="33"/>
      <c r="AO136" s="33"/>
      <c r="AP136" s="33"/>
      <c r="AQ136" s="33"/>
      <c r="AR136" s="33"/>
      <c r="AS136" s="33"/>
      <c r="AT136" s="33"/>
      <c r="AU136" s="33"/>
      <c r="AV136" s="33"/>
      <c r="AW136" s="33"/>
      <c r="AX136" s="33"/>
      <c r="AY136" s="33"/>
      <c r="AZ136" s="33"/>
      <c r="BA136" s="33"/>
      <c r="BB136" s="33"/>
      <c r="BC136" s="33"/>
      <c r="BD136" s="33"/>
      <c r="BE136" s="33"/>
      <c r="BF136" s="33"/>
      <c r="BG136" s="33"/>
      <c r="BH136" s="33"/>
      <c r="BI136" s="33"/>
      <c r="BJ136" s="33"/>
      <c r="BK136" s="33"/>
      <c r="BL136" s="33"/>
      <c r="BM136" s="33"/>
    </row>
    <row r="137" spans="1:65" s="33" customFormat="1" ht="36.75" x14ac:dyDescent="0.3">
      <c r="A137" s="97">
        <v>32921</v>
      </c>
      <c r="B137" s="42" t="s">
        <v>129</v>
      </c>
      <c r="C137" s="127">
        <v>1100</v>
      </c>
      <c r="D137" s="66">
        <v>0</v>
      </c>
      <c r="E137" s="66">
        <v>0</v>
      </c>
      <c r="F137" s="66">
        <v>0</v>
      </c>
      <c r="G137" s="121">
        <v>1100</v>
      </c>
      <c r="H137" s="66">
        <v>0</v>
      </c>
      <c r="I137" s="117">
        <v>0</v>
      </c>
      <c r="J137" s="66">
        <v>0</v>
      </c>
      <c r="K137" s="66">
        <v>0</v>
      </c>
      <c r="L137" s="66">
        <v>0</v>
      </c>
      <c r="M137" s="66">
        <v>0</v>
      </c>
      <c r="N137" s="66">
        <v>0</v>
      </c>
      <c r="O137" s="66">
        <v>0</v>
      </c>
      <c r="P137" s="66">
        <v>0</v>
      </c>
      <c r="Q137" s="127">
        <f t="shared" si="3"/>
        <v>1100</v>
      </c>
      <c r="R137" s="128"/>
      <c r="S137" s="128">
        <f>8000/V131</f>
        <v>1061.7824673170085</v>
      </c>
      <c r="T137" s="176">
        <f>2694.36/V131</f>
        <v>357.60302608003184</v>
      </c>
    </row>
    <row r="138" spans="1:65" s="33" customFormat="1" ht="36.75" x14ac:dyDescent="0.3">
      <c r="A138" s="97">
        <v>32922</v>
      </c>
      <c r="B138" s="42" t="s">
        <v>130</v>
      </c>
      <c r="C138" s="127">
        <v>1200</v>
      </c>
      <c r="D138" s="66">
        <v>0</v>
      </c>
      <c r="E138" s="66">
        <v>0</v>
      </c>
      <c r="F138" s="66">
        <v>0</v>
      </c>
      <c r="G138" s="121">
        <v>1200</v>
      </c>
      <c r="H138" s="66">
        <v>0</v>
      </c>
      <c r="I138" s="117">
        <v>0</v>
      </c>
      <c r="J138" s="66">
        <v>0</v>
      </c>
      <c r="K138" s="66">
        <v>0</v>
      </c>
      <c r="L138" s="66">
        <v>0</v>
      </c>
      <c r="M138" s="66">
        <v>0</v>
      </c>
      <c r="N138" s="66">
        <v>0</v>
      </c>
      <c r="O138" s="66">
        <v>0</v>
      </c>
      <c r="P138" s="66">
        <v>0</v>
      </c>
      <c r="Q138" s="127">
        <f t="shared" si="3"/>
        <v>1200</v>
      </c>
      <c r="R138" s="128"/>
      <c r="S138" s="128">
        <f>8000/V131</f>
        <v>1061.7824673170085</v>
      </c>
      <c r="T138" s="176">
        <f>6209.74/V131</f>
        <v>824.17413232463991</v>
      </c>
    </row>
    <row r="139" spans="1:65" s="32" customFormat="1" x14ac:dyDescent="0.3">
      <c r="A139" s="103">
        <v>32923</v>
      </c>
      <c r="B139" s="100" t="s">
        <v>117</v>
      </c>
      <c r="C139" s="127">
        <v>0</v>
      </c>
      <c r="D139" s="101">
        <v>0</v>
      </c>
      <c r="E139" s="101">
        <v>0</v>
      </c>
      <c r="F139" s="101">
        <v>0</v>
      </c>
      <c r="G139" s="121">
        <v>0</v>
      </c>
      <c r="H139" s="101">
        <v>0</v>
      </c>
      <c r="I139" s="101">
        <v>0</v>
      </c>
      <c r="J139" s="101">
        <v>0</v>
      </c>
      <c r="K139" s="101">
        <v>0</v>
      </c>
      <c r="L139" s="101">
        <v>0</v>
      </c>
      <c r="M139" s="101">
        <v>0</v>
      </c>
      <c r="N139" s="101">
        <v>0</v>
      </c>
      <c r="O139" s="101">
        <v>0</v>
      </c>
      <c r="P139" s="101">
        <v>0</v>
      </c>
      <c r="Q139" s="127">
        <f t="shared" si="3"/>
        <v>0</v>
      </c>
      <c r="R139" s="128"/>
      <c r="S139" s="128">
        <v>0</v>
      </c>
      <c r="T139" s="176">
        <v>0</v>
      </c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F139" s="33"/>
      <c r="AG139" s="33"/>
      <c r="AH139" s="33"/>
      <c r="AI139" s="33"/>
      <c r="AJ139" s="33"/>
      <c r="AK139" s="33"/>
      <c r="AL139" s="33"/>
      <c r="AM139" s="33"/>
      <c r="AN139" s="33"/>
      <c r="AO139" s="33"/>
      <c r="AP139" s="33"/>
      <c r="AQ139" s="33"/>
      <c r="AR139" s="33"/>
      <c r="AS139" s="33"/>
      <c r="AT139" s="33"/>
      <c r="AU139" s="33"/>
      <c r="AV139" s="33"/>
      <c r="AW139" s="33"/>
      <c r="AX139" s="33"/>
      <c r="AY139" s="33"/>
      <c r="AZ139" s="33"/>
      <c r="BA139" s="33"/>
      <c r="BB139" s="33"/>
      <c r="BC139" s="33"/>
      <c r="BD139" s="33"/>
      <c r="BE139" s="33"/>
      <c r="BF139" s="33"/>
      <c r="BG139" s="33"/>
      <c r="BH139" s="33"/>
      <c r="BI139" s="33"/>
      <c r="BJ139" s="33"/>
      <c r="BK139" s="33"/>
      <c r="BL139" s="33"/>
      <c r="BM139" s="33"/>
    </row>
    <row r="140" spans="1:65" s="44" customFormat="1" x14ac:dyDescent="0.3">
      <c r="A140" s="95">
        <v>3293</v>
      </c>
      <c r="B140" s="38" t="s">
        <v>45</v>
      </c>
      <c r="C140" s="126">
        <v>1500</v>
      </c>
      <c r="D140" s="64">
        <f>D141</f>
        <v>0</v>
      </c>
      <c r="E140" s="64">
        <v>0</v>
      </c>
      <c r="F140" s="64">
        <v>0</v>
      </c>
      <c r="G140" s="120">
        <f>G141</f>
        <v>1500</v>
      </c>
      <c r="H140" s="64">
        <v>0</v>
      </c>
      <c r="I140" s="116">
        <v>0</v>
      </c>
      <c r="J140" s="64">
        <v>0</v>
      </c>
      <c r="K140" s="64">
        <v>0</v>
      </c>
      <c r="L140" s="64">
        <v>0</v>
      </c>
      <c r="M140" s="64">
        <v>0</v>
      </c>
      <c r="N140" s="64">
        <v>0</v>
      </c>
      <c r="O140" s="64">
        <v>0</v>
      </c>
      <c r="P140" s="64">
        <v>0</v>
      </c>
      <c r="Q140" s="126">
        <f t="shared" si="3"/>
        <v>1500</v>
      </c>
      <c r="R140" s="192"/>
      <c r="S140" s="192">
        <f>18000/V131</f>
        <v>2389.0105514632687</v>
      </c>
      <c r="T140" s="198">
        <f>12200.07/V131</f>
        <v>1619.2275532550268</v>
      </c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F140" s="33"/>
      <c r="AG140" s="33"/>
      <c r="AH140" s="33"/>
      <c r="AI140" s="33"/>
      <c r="AJ140" s="33"/>
      <c r="AK140" s="33"/>
      <c r="AL140" s="33"/>
      <c r="AM140" s="33"/>
      <c r="AN140" s="33"/>
      <c r="AO140" s="33"/>
      <c r="AP140" s="33"/>
      <c r="AQ140" s="33"/>
      <c r="AR140" s="33"/>
      <c r="AS140" s="33"/>
      <c r="AT140" s="33"/>
      <c r="AU140" s="33"/>
      <c r="AV140" s="33"/>
      <c r="AW140" s="33"/>
      <c r="AX140" s="33"/>
      <c r="AY140" s="33"/>
      <c r="AZ140" s="33"/>
      <c r="BA140" s="33"/>
      <c r="BB140" s="33"/>
      <c r="BC140" s="33"/>
      <c r="BD140" s="33"/>
      <c r="BE140" s="33"/>
      <c r="BF140" s="33"/>
      <c r="BG140" s="33"/>
      <c r="BH140" s="33"/>
      <c r="BI140" s="33"/>
      <c r="BJ140" s="33"/>
      <c r="BK140" s="33"/>
      <c r="BL140" s="33"/>
      <c r="BM140" s="33"/>
    </row>
    <row r="141" spans="1:65" s="32" customFormat="1" x14ac:dyDescent="0.3">
      <c r="A141" s="96">
        <v>32931</v>
      </c>
      <c r="B141" s="40" t="s">
        <v>45</v>
      </c>
      <c r="C141" s="127">
        <v>1500</v>
      </c>
      <c r="D141" s="67">
        <v>0</v>
      </c>
      <c r="E141" s="67">
        <v>0</v>
      </c>
      <c r="F141" s="67">
        <v>0</v>
      </c>
      <c r="G141" s="121">
        <v>1500</v>
      </c>
      <c r="H141" s="67">
        <v>0</v>
      </c>
      <c r="I141" s="67">
        <v>0</v>
      </c>
      <c r="J141" s="67">
        <v>0</v>
      </c>
      <c r="K141" s="67">
        <v>0</v>
      </c>
      <c r="L141" s="67">
        <v>0</v>
      </c>
      <c r="M141" s="67">
        <v>0</v>
      </c>
      <c r="N141" s="67">
        <v>0</v>
      </c>
      <c r="O141" s="67">
        <v>0</v>
      </c>
      <c r="P141" s="67">
        <v>0</v>
      </c>
      <c r="Q141" s="127">
        <f t="shared" si="3"/>
        <v>1500</v>
      </c>
      <c r="R141" s="128"/>
      <c r="S141" s="128">
        <f>18000/V131</f>
        <v>2389.0105514632687</v>
      </c>
      <c r="T141" s="176">
        <f>12200.07/V131</f>
        <v>1619.2275532550268</v>
      </c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F141" s="33"/>
      <c r="AG141" s="33"/>
      <c r="AH141" s="33"/>
      <c r="AI141" s="33"/>
      <c r="AJ141" s="33"/>
      <c r="AK141" s="33"/>
      <c r="AL141" s="33"/>
      <c r="AM141" s="33"/>
      <c r="AN141" s="33"/>
      <c r="AO141" s="33"/>
      <c r="AP141" s="33"/>
      <c r="AQ141" s="33"/>
      <c r="AR141" s="33"/>
      <c r="AS141" s="33"/>
      <c r="AT141" s="33"/>
      <c r="AU141" s="33"/>
      <c r="AV141" s="33"/>
      <c r="AW141" s="33"/>
      <c r="AX141" s="33"/>
      <c r="AY141" s="33"/>
      <c r="AZ141" s="33"/>
      <c r="BA141" s="33"/>
      <c r="BB141" s="33"/>
      <c r="BC141" s="33"/>
      <c r="BD141" s="33"/>
      <c r="BE141" s="33"/>
      <c r="BF141" s="33"/>
      <c r="BG141" s="33"/>
      <c r="BH141" s="33"/>
      <c r="BI141" s="33"/>
      <c r="BJ141" s="33"/>
      <c r="BK141" s="33"/>
      <c r="BL141" s="33"/>
      <c r="BM141" s="33"/>
    </row>
    <row r="142" spans="1:65" s="36" customFormat="1" x14ac:dyDescent="0.3">
      <c r="A142" s="95">
        <v>3294</v>
      </c>
      <c r="B142" s="38" t="s">
        <v>46</v>
      </c>
      <c r="C142" s="126">
        <v>1500</v>
      </c>
      <c r="D142" s="64">
        <f>D143</f>
        <v>0</v>
      </c>
      <c r="E142" s="64">
        <v>0</v>
      </c>
      <c r="F142" s="64">
        <v>0</v>
      </c>
      <c r="G142" s="120">
        <f>G143</f>
        <v>1500</v>
      </c>
      <c r="H142" s="64">
        <v>0</v>
      </c>
      <c r="I142" s="116">
        <v>0</v>
      </c>
      <c r="J142" s="64">
        <v>0</v>
      </c>
      <c r="K142" s="64">
        <v>0</v>
      </c>
      <c r="L142" s="64">
        <v>0</v>
      </c>
      <c r="M142" s="64">
        <v>0</v>
      </c>
      <c r="N142" s="64">
        <v>0</v>
      </c>
      <c r="O142" s="64">
        <v>0</v>
      </c>
      <c r="P142" s="64">
        <v>0</v>
      </c>
      <c r="Q142" s="126">
        <f t="shared" si="3"/>
        <v>1500</v>
      </c>
      <c r="R142" s="192"/>
      <c r="S142" s="192">
        <f>9000/V131</f>
        <v>1194.5052757316344</v>
      </c>
      <c r="T142" s="198">
        <f>5900/V131</f>
        <v>783.06456964629365</v>
      </c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1"/>
      <c r="AL142" s="31"/>
      <c r="AM142" s="31"/>
      <c r="AN142" s="31"/>
      <c r="AO142" s="31"/>
      <c r="AP142" s="31"/>
      <c r="AQ142" s="31"/>
      <c r="AR142" s="31"/>
      <c r="AS142" s="31"/>
      <c r="AT142" s="31"/>
      <c r="AU142" s="31"/>
      <c r="AV142" s="31"/>
      <c r="AW142" s="31"/>
      <c r="AX142" s="31"/>
      <c r="AY142" s="31"/>
      <c r="AZ142" s="31"/>
      <c r="BA142" s="31"/>
      <c r="BB142" s="31"/>
      <c r="BC142" s="31"/>
      <c r="BD142" s="31"/>
      <c r="BE142" s="31"/>
      <c r="BF142" s="31"/>
      <c r="BG142" s="31"/>
      <c r="BH142" s="31"/>
      <c r="BI142" s="31"/>
      <c r="BJ142" s="31"/>
      <c r="BK142" s="31"/>
      <c r="BL142" s="31"/>
      <c r="BM142" s="31"/>
    </row>
    <row r="143" spans="1:65" x14ac:dyDescent="0.3">
      <c r="A143" s="96">
        <v>32941</v>
      </c>
      <c r="B143" s="40" t="s">
        <v>118</v>
      </c>
      <c r="C143" s="127">
        <v>1500</v>
      </c>
      <c r="D143" s="67">
        <v>0</v>
      </c>
      <c r="E143" s="67">
        <v>0</v>
      </c>
      <c r="F143" s="67">
        <v>0</v>
      </c>
      <c r="G143" s="121">
        <v>1500</v>
      </c>
      <c r="H143" s="67">
        <v>0</v>
      </c>
      <c r="I143" s="67">
        <v>0</v>
      </c>
      <c r="J143" s="67">
        <v>0</v>
      </c>
      <c r="K143" s="67">
        <v>0</v>
      </c>
      <c r="L143" s="67">
        <v>0</v>
      </c>
      <c r="M143" s="67">
        <v>0</v>
      </c>
      <c r="N143" s="67">
        <v>0</v>
      </c>
      <c r="O143" s="67">
        <v>0</v>
      </c>
      <c r="P143" s="67">
        <v>0</v>
      </c>
      <c r="Q143" s="127">
        <f t="shared" si="3"/>
        <v>1500</v>
      </c>
      <c r="R143" s="128"/>
      <c r="S143" s="128">
        <f>9000/V131</f>
        <v>1194.5052757316344</v>
      </c>
      <c r="T143" s="176">
        <f>5900/V131</f>
        <v>783.06456964629365</v>
      </c>
    </row>
    <row r="144" spans="1:65" s="36" customFormat="1" x14ac:dyDescent="0.3">
      <c r="A144" s="95">
        <v>3295</v>
      </c>
      <c r="B144" s="45" t="s">
        <v>55</v>
      </c>
      <c r="C144" s="126">
        <v>4300</v>
      </c>
      <c r="D144" s="64">
        <v>0</v>
      </c>
      <c r="E144" s="64">
        <v>0</v>
      </c>
      <c r="F144" s="64">
        <v>0</v>
      </c>
      <c r="G144" s="120">
        <f>G146+G148</f>
        <v>600</v>
      </c>
      <c r="H144" s="64">
        <v>0</v>
      </c>
      <c r="I144" s="116">
        <f>I147</f>
        <v>3700</v>
      </c>
      <c r="J144" s="64">
        <v>0</v>
      </c>
      <c r="K144" s="64">
        <v>0</v>
      </c>
      <c r="L144" s="64">
        <v>0</v>
      </c>
      <c r="M144" s="64">
        <v>0</v>
      </c>
      <c r="N144" s="64">
        <v>0</v>
      </c>
      <c r="O144" s="64">
        <v>0</v>
      </c>
      <c r="P144" s="64">
        <v>0</v>
      </c>
      <c r="Q144" s="126">
        <f t="shared" si="3"/>
        <v>4300</v>
      </c>
      <c r="R144" s="192"/>
      <c r="S144" s="192">
        <f>39000/V131</f>
        <v>5176.1895281704155</v>
      </c>
      <c r="T144" s="198">
        <f>14183.8/V131</f>
        <v>1882.5137699913728</v>
      </c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1"/>
      <c r="AL144" s="31"/>
      <c r="AM144" s="31"/>
      <c r="AN144" s="31"/>
      <c r="AO144" s="31"/>
      <c r="AP144" s="31"/>
      <c r="AQ144" s="31"/>
      <c r="AR144" s="31"/>
      <c r="AS144" s="31"/>
      <c r="AT144" s="31"/>
      <c r="AU144" s="31"/>
      <c r="AV144" s="31"/>
      <c r="AW144" s="31"/>
      <c r="AX144" s="31"/>
      <c r="AY144" s="31"/>
      <c r="AZ144" s="31"/>
      <c r="BA144" s="31"/>
      <c r="BB144" s="31"/>
      <c r="BC144" s="31"/>
      <c r="BD144" s="31"/>
      <c r="BE144" s="31"/>
      <c r="BF144" s="31"/>
      <c r="BG144" s="31"/>
      <c r="BH144" s="31"/>
      <c r="BI144" s="31"/>
      <c r="BJ144" s="31"/>
      <c r="BK144" s="31"/>
      <c r="BL144" s="31"/>
      <c r="BM144" s="31"/>
    </row>
    <row r="145" spans="1:65" s="31" customFormat="1" ht="17.25" customHeight="1" x14ac:dyDescent="0.3">
      <c r="A145" s="97">
        <v>32952</v>
      </c>
      <c r="B145" s="102" t="s">
        <v>160</v>
      </c>
      <c r="C145" s="127">
        <v>0</v>
      </c>
      <c r="D145" s="66">
        <v>0</v>
      </c>
      <c r="E145" s="66">
        <v>0</v>
      </c>
      <c r="F145" s="66">
        <v>0</v>
      </c>
      <c r="G145" s="122">
        <v>0</v>
      </c>
      <c r="H145" s="66">
        <v>0</v>
      </c>
      <c r="I145" s="117">
        <v>0</v>
      </c>
      <c r="J145" s="66">
        <v>0</v>
      </c>
      <c r="K145" s="66">
        <v>0</v>
      </c>
      <c r="L145" s="66">
        <v>0</v>
      </c>
      <c r="M145" s="66">
        <v>0</v>
      </c>
      <c r="N145" s="66">
        <v>0</v>
      </c>
      <c r="O145" s="66">
        <v>0</v>
      </c>
      <c r="P145" s="66">
        <v>0</v>
      </c>
      <c r="Q145" s="127">
        <f t="shared" si="3"/>
        <v>0</v>
      </c>
      <c r="R145" s="128"/>
      <c r="S145" s="128">
        <f>13000/V131</f>
        <v>1725.3965093901386</v>
      </c>
      <c r="T145" s="176">
        <f>1500/V131</f>
        <v>199.08421262193906</v>
      </c>
    </row>
    <row r="146" spans="1:65" s="31" customFormat="1" x14ac:dyDescent="0.3">
      <c r="A146" s="97">
        <v>32953</v>
      </c>
      <c r="B146" s="102" t="s">
        <v>128</v>
      </c>
      <c r="C146" s="127">
        <v>300</v>
      </c>
      <c r="D146" s="66">
        <v>0</v>
      </c>
      <c r="E146" s="66">
        <v>0</v>
      </c>
      <c r="F146" s="66">
        <v>0</v>
      </c>
      <c r="G146" s="121">
        <v>300</v>
      </c>
      <c r="H146" s="66">
        <v>0</v>
      </c>
      <c r="I146" s="117">
        <v>0</v>
      </c>
      <c r="J146" s="66">
        <v>0</v>
      </c>
      <c r="K146" s="66">
        <v>0</v>
      </c>
      <c r="L146" s="66">
        <v>0</v>
      </c>
      <c r="M146" s="66">
        <v>0</v>
      </c>
      <c r="N146" s="66">
        <v>0</v>
      </c>
      <c r="O146" s="66">
        <v>0</v>
      </c>
      <c r="P146" s="66">
        <v>0</v>
      </c>
      <c r="Q146" s="127">
        <f t="shared" si="3"/>
        <v>300</v>
      </c>
      <c r="R146" s="128"/>
      <c r="S146" s="128">
        <f>3000/V131</f>
        <v>398.16842524387812</v>
      </c>
      <c r="T146" s="176">
        <f>1031.25/V131</f>
        <v>136.8703961775831</v>
      </c>
    </row>
    <row r="147" spans="1:65" s="31" customFormat="1" x14ac:dyDescent="0.3">
      <c r="A147" s="97">
        <v>32955</v>
      </c>
      <c r="B147" s="102" t="s">
        <v>146</v>
      </c>
      <c r="C147" s="127">
        <v>3700</v>
      </c>
      <c r="D147" s="66">
        <v>0</v>
      </c>
      <c r="E147" s="66">
        <v>0</v>
      </c>
      <c r="F147" s="66">
        <v>0</v>
      </c>
      <c r="G147" s="122">
        <v>0</v>
      </c>
      <c r="H147" s="66">
        <v>0</v>
      </c>
      <c r="I147" s="117">
        <v>3700</v>
      </c>
      <c r="J147" s="66">
        <v>0</v>
      </c>
      <c r="K147" s="66">
        <v>0</v>
      </c>
      <c r="L147" s="66">
        <v>0</v>
      </c>
      <c r="M147" s="66">
        <v>0</v>
      </c>
      <c r="N147" s="66">
        <v>0</v>
      </c>
      <c r="O147" s="66">
        <v>0</v>
      </c>
      <c r="P147" s="66">
        <v>0</v>
      </c>
      <c r="Q147" s="127">
        <f t="shared" si="3"/>
        <v>3700</v>
      </c>
      <c r="R147" s="128"/>
      <c r="S147" s="128">
        <f>20000/V131</f>
        <v>2654.4561682925209</v>
      </c>
      <c r="T147" s="176">
        <f>11250/V131</f>
        <v>1493.1315946645429</v>
      </c>
    </row>
    <row r="148" spans="1:65" s="31" customFormat="1" x14ac:dyDescent="0.3">
      <c r="A148" s="97">
        <v>32959</v>
      </c>
      <c r="B148" s="102" t="s">
        <v>161</v>
      </c>
      <c r="C148" s="127">
        <v>300</v>
      </c>
      <c r="D148" s="66">
        <v>0</v>
      </c>
      <c r="E148" s="66">
        <v>0</v>
      </c>
      <c r="F148" s="66">
        <v>0</v>
      </c>
      <c r="G148" s="122">
        <v>300</v>
      </c>
      <c r="H148" s="66">
        <v>0</v>
      </c>
      <c r="I148" s="117">
        <v>0</v>
      </c>
      <c r="J148" s="66">
        <v>0</v>
      </c>
      <c r="K148" s="66">
        <v>0</v>
      </c>
      <c r="L148" s="66">
        <v>0</v>
      </c>
      <c r="M148" s="66">
        <v>0</v>
      </c>
      <c r="N148" s="66">
        <v>0</v>
      </c>
      <c r="O148" s="66">
        <v>0</v>
      </c>
      <c r="P148" s="66">
        <v>0</v>
      </c>
      <c r="Q148" s="127">
        <f t="shared" si="3"/>
        <v>300</v>
      </c>
      <c r="R148" s="128"/>
      <c r="S148" s="128">
        <f>3000/V131</f>
        <v>398.16842524387812</v>
      </c>
      <c r="T148" s="176">
        <f>402.55/V131</f>
        <v>53.427566527307718</v>
      </c>
    </row>
    <row r="149" spans="1:65" s="36" customFormat="1" x14ac:dyDescent="0.3">
      <c r="A149" s="95">
        <v>3296</v>
      </c>
      <c r="B149" s="45" t="s">
        <v>162</v>
      </c>
      <c r="C149" s="126">
        <v>200</v>
      </c>
      <c r="D149" s="64">
        <v>0</v>
      </c>
      <c r="E149" s="64">
        <v>0</v>
      </c>
      <c r="F149" s="64">
        <v>0</v>
      </c>
      <c r="G149" s="120">
        <f>G150</f>
        <v>200</v>
      </c>
      <c r="H149" s="64">
        <v>0</v>
      </c>
      <c r="I149" s="116">
        <v>0</v>
      </c>
      <c r="J149" s="64">
        <v>0</v>
      </c>
      <c r="K149" s="64">
        <v>0</v>
      </c>
      <c r="L149" s="64">
        <v>0</v>
      </c>
      <c r="M149" s="64">
        <v>0</v>
      </c>
      <c r="N149" s="64">
        <v>0</v>
      </c>
      <c r="O149" s="64">
        <v>0</v>
      </c>
      <c r="P149" s="64">
        <v>0</v>
      </c>
      <c r="Q149" s="126">
        <f t="shared" si="3"/>
        <v>200</v>
      </c>
      <c r="R149" s="192"/>
      <c r="S149" s="192">
        <f>20000/V131</f>
        <v>2654.4561682925209</v>
      </c>
      <c r="T149" s="198">
        <f>13125/V131</f>
        <v>1741.9868604419669</v>
      </c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31"/>
      <c r="AL149" s="31"/>
      <c r="AM149" s="31"/>
      <c r="AN149" s="31"/>
      <c r="AO149" s="31"/>
      <c r="AP149" s="31"/>
      <c r="AQ149" s="31"/>
      <c r="AR149" s="31"/>
      <c r="AS149" s="31"/>
      <c r="AT149" s="31"/>
      <c r="AU149" s="31"/>
      <c r="AV149" s="31"/>
      <c r="AW149" s="31"/>
      <c r="AX149" s="31"/>
      <c r="AY149" s="31"/>
      <c r="AZ149" s="31"/>
      <c r="BA149" s="31"/>
      <c r="BB149" s="31"/>
      <c r="BC149" s="31"/>
      <c r="BD149" s="31"/>
      <c r="BE149" s="31"/>
      <c r="BF149" s="31"/>
      <c r="BG149" s="31"/>
      <c r="BH149" s="31"/>
      <c r="BI149" s="31"/>
      <c r="BJ149" s="31"/>
      <c r="BK149" s="31"/>
      <c r="BL149" s="31"/>
      <c r="BM149" s="31"/>
    </row>
    <row r="150" spans="1:65" s="31" customFormat="1" ht="17.25" customHeight="1" x14ac:dyDescent="0.3">
      <c r="A150" s="97">
        <v>32961</v>
      </c>
      <c r="B150" s="102" t="s">
        <v>162</v>
      </c>
      <c r="C150" s="127">
        <v>200</v>
      </c>
      <c r="D150" s="66">
        <v>0</v>
      </c>
      <c r="E150" s="66">
        <v>0</v>
      </c>
      <c r="F150" s="66">
        <v>0</v>
      </c>
      <c r="G150" s="122">
        <v>200</v>
      </c>
      <c r="H150" s="66">
        <v>0</v>
      </c>
      <c r="I150" s="117">
        <v>0</v>
      </c>
      <c r="J150" s="66">
        <v>0</v>
      </c>
      <c r="K150" s="66">
        <v>0</v>
      </c>
      <c r="L150" s="66">
        <v>0</v>
      </c>
      <c r="M150" s="66">
        <v>0</v>
      </c>
      <c r="N150" s="66">
        <v>0</v>
      </c>
      <c r="O150" s="66">
        <v>0</v>
      </c>
      <c r="P150" s="66">
        <v>0</v>
      </c>
      <c r="Q150" s="127">
        <f t="shared" ref="Q150:Q181" si="4">SUM(D150:P150)</f>
        <v>200</v>
      </c>
      <c r="R150" s="128"/>
      <c r="S150" s="128">
        <f>20000/V131</f>
        <v>2654.4561682925209</v>
      </c>
      <c r="T150" s="176">
        <f>13125/V131</f>
        <v>1741.9868604419669</v>
      </c>
    </row>
    <row r="151" spans="1:65" s="36" customFormat="1" ht="36.75" x14ac:dyDescent="0.3">
      <c r="A151" s="95">
        <v>3299</v>
      </c>
      <c r="B151" s="38" t="s">
        <v>2</v>
      </c>
      <c r="C151" s="126">
        <v>500</v>
      </c>
      <c r="D151" s="64">
        <v>0</v>
      </c>
      <c r="E151" s="64">
        <v>0</v>
      </c>
      <c r="F151" s="64">
        <v>0</v>
      </c>
      <c r="G151" s="120">
        <f>G152+G153</f>
        <v>500</v>
      </c>
      <c r="H151" s="64">
        <v>0</v>
      </c>
      <c r="I151" s="116">
        <v>0</v>
      </c>
      <c r="J151" s="64">
        <v>0</v>
      </c>
      <c r="K151" s="64">
        <v>0</v>
      </c>
      <c r="L151" s="64">
        <v>0</v>
      </c>
      <c r="M151" s="64">
        <v>0</v>
      </c>
      <c r="N151" s="64">
        <v>0</v>
      </c>
      <c r="O151" s="64">
        <v>0</v>
      </c>
      <c r="P151" s="64">
        <v>0</v>
      </c>
      <c r="Q151" s="126">
        <f t="shared" si="4"/>
        <v>500</v>
      </c>
      <c r="R151" s="192"/>
      <c r="S151" s="192">
        <f>10000/V131</f>
        <v>1327.2280841462605</v>
      </c>
      <c r="T151" s="198">
        <f>1353.13/V131</f>
        <v>179.59121375008294</v>
      </c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1"/>
      <c r="AL151" s="31"/>
      <c r="AM151" s="31"/>
      <c r="AN151" s="31"/>
      <c r="AO151" s="31"/>
      <c r="AP151" s="31"/>
      <c r="AQ151" s="31"/>
      <c r="AR151" s="31"/>
      <c r="AS151" s="31"/>
      <c r="AT151" s="31"/>
      <c r="AU151" s="31"/>
      <c r="AV151" s="31"/>
      <c r="AW151" s="31"/>
      <c r="AX151" s="31"/>
      <c r="AY151" s="31"/>
      <c r="AZ151" s="31"/>
      <c r="BA151" s="31"/>
      <c r="BB151" s="31"/>
      <c r="BC151" s="31"/>
      <c r="BD151" s="31"/>
      <c r="BE151" s="31"/>
      <c r="BF151" s="31"/>
      <c r="BG151" s="31"/>
      <c r="BH151" s="31"/>
      <c r="BI151" s="31"/>
      <c r="BJ151" s="31"/>
      <c r="BK151" s="31"/>
      <c r="BL151" s="31"/>
      <c r="BM151" s="31"/>
    </row>
    <row r="152" spans="1:65" ht="54.75" x14ac:dyDescent="0.3">
      <c r="A152" s="96">
        <v>32991</v>
      </c>
      <c r="B152" s="40" t="s">
        <v>120</v>
      </c>
      <c r="C152" s="127">
        <v>0</v>
      </c>
      <c r="D152" s="67">
        <v>0</v>
      </c>
      <c r="E152" s="67">
        <v>0</v>
      </c>
      <c r="F152" s="67">
        <v>0</v>
      </c>
      <c r="G152" s="121">
        <v>0</v>
      </c>
      <c r="H152" s="67">
        <v>0</v>
      </c>
      <c r="I152" s="67">
        <v>0</v>
      </c>
      <c r="J152" s="67">
        <v>0</v>
      </c>
      <c r="K152" s="67">
        <v>0</v>
      </c>
      <c r="L152" s="67">
        <v>0</v>
      </c>
      <c r="M152" s="67">
        <v>0</v>
      </c>
      <c r="N152" s="67">
        <v>0</v>
      </c>
      <c r="O152" s="67">
        <v>0</v>
      </c>
      <c r="P152" s="67">
        <v>0</v>
      </c>
      <c r="Q152" s="127">
        <f t="shared" si="4"/>
        <v>0</v>
      </c>
      <c r="R152" s="128"/>
      <c r="S152" s="128">
        <f>5000/V131</f>
        <v>663.61404207313024</v>
      </c>
      <c r="T152" s="176">
        <v>0</v>
      </c>
    </row>
    <row r="153" spans="1:65" ht="37.5" thickBot="1" x14ac:dyDescent="0.35">
      <c r="A153" s="94">
        <v>32999</v>
      </c>
      <c r="B153" s="231" t="s">
        <v>2</v>
      </c>
      <c r="C153" s="125">
        <v>500</v>
      </c>
      <c r="D153" s="68">
        <v>0</v>
      </c>
      <c r="E153" s="68">
        <v>0</v>
      </c>
      <c r="F153" s="68">
        <v>0</v>
      </c>
      <c r="G153" s="123">
        <v>500</v>
      </c>
      <c r="H153" s="68">
        <v>0</v>
      </c>
      <c r="I153" s="68">
        <v>0</v>
      </c>
      <c r="J153" s="68">
        <v>0</v>
      </c>
      <c r="K153" s="68">
        <v>0</v>
      </c>
      <c r="L153" s="68">
        <v>0</v>
      </c>
      <c r="M153" s="68">
        <v>0</v>
      </c>
      <c r="N153" s="68">
        <v>0</v>
      </c>
      <c r="O153" s="68">
        <v>0</v>
      </c>
      <c r="P153" s="68">
        <v>0</v>
      </c>
      <c r="Q153" s="125">
        <f t="shared" si="4"/>
        <v>500</v>
      </c>
      <c r="R153" s="190"/>
      <c r="S153" s="190">
        <f>5000/V131</f>
        <v>663.61404207313024</v>
      </c>
      <c r="T153" s="217">
        <f>1353.13/V131</f>
        <v>179.59121375008294</v>
      </c>
    </row>
    <row r="154" spans="1:65" ht="19.5" thickBot="1" x14ac:dyDescent="0.35">
      <c r="A154" s="69">
        <v>34</v>
      </c>
      <c r="B154" s="70" t="s">
        <v>5</v>
      </c>
      <c r="C154" s="182">
        <v>1170</v>
      </c>
      <c r="D154" s="71">
        <v>0</v>
      </c>
      <c r="E154" s="71">
        <v>0</v>
      </c>
      <c r="F154" s="71">
        <v>0</v>
      </c>
      <c r="G154" s="183">
        <f>G155</f>
        <v>1170</v>
      </c>
      <c r="H154" s="71">
        <v>0</v>
      </c>
      <c r="I154" s="119">
        <v>0</v>
      </c>
      <c r="J154" s="71">
        <v>0</v>
      </c>
      <c r="K154" s="71">
        <v>0</v>
      </c>
      <c r="L154" s="71">
        <v>0</v>
      </c>
      <c r="M154" s="71">
        <v>0</v>
      </c>
      <c r="N154" s="71">
        <v>0</v>
      </c>
      <c r="O154" s="71">
        <v>0</v>
      </c>
      <c r="P154" s="71">
        <v>0</v>
      </c>
      <c r="Q154" s="182">
        <f t="shared" si="4"/>
        <v>1170</v>
      </c>
      <c r="R154" s="182"/>
      <c r="S154" s="182">
        <f>28300/V131</f>
        <v>3756.0554781339169</v>
      </c>
      <c r="T154" s="184">
        <f>11344.64/V131</f>
        <v>1505.6924812529032</v>
      </c>
    </row>
    <row r="155" spans="1:65" s="32" customFormat="1" ht="19.5" thickBot="1" x14ac:dyDescent="0.35">
      <c r="A155" s="69">
        <v>343</v>
      </c>
      <c r="B155" s="70" t="s">
        <v>6</v>
      </c>
      <c r="C155" s="182">
        <v>1170</v>
      </c>
      <c r="D155" s="71">
        <v>0</v>
      </c>
      <c r="E155" s="71">
        <v>0</v>
      </c>
      <c r="F155" s="71">
        <v>0</v>
      </c>
      <c r="G155" s="183">
        <f>G156+G159+G160</f>
        <v>1170</v>
      </c>
      <c r="H155" s="71">
        <v>0</v>
      </c>
      <c r="I155" s="119">
        <v>0</v>
      </c>
      <c r="J155" s="71">
        <v>0</v>
      </c>
      <c r="K155" s="71">
        <v>0</v>
      </c>
      <c r="L155" s="71">
        <v>0</v>
      </c>
      <c r="M155" s="71">
        <v>0</v>
      </c>
      <c r="N155" s="71">
        <v>0</v>
      </c>
      <c r="O155" s="71">
        <v>0</v>
      </c>
      <c r="P155" s="71">
        <v>0</v>
      </c>
      <c r="Q155" s="182">
        <f t="shared" si="4"/>
        <v>1170</v>
      </c>
      <c r="R155" s="182"/>
      <c r="S155" s="182">
        <f>28300/V131</f>
        <v>3756.0554781339169</v>
      </c>
      <c r="T155" s="184">
        <f>11344.64/V131</f>
        <v>1505.6924812529032</v>
      </c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F155" s="33"/>
      <c r="AG155" s="33"/>
      <c r="AH155" s="33"/>
      <c r="AI155" s="33"/>
      <c r="AJ155" s="33"/>
      <c r="AK155" s="33"/>
      <c r="AL155" s="33"/>
      <c r="AM155" s="33"/>
      <c r="AN155" s="33"/>
      <c r="AO155" s="33"/>
      <c r="AP155" s="33"/>
      <c r="AQ155" s="33"/>
      <c r="AR155" s="33"/>
      <c r="AS155" s="33"/>
      <c r="AT155" s="33"/>
      <c r="AU155" s="33"/>
      <c r="AV155" s="33"/>
      <c r="AW155" s="33"/>
      <c r="AX155" s="33"/>
      <c r="AY155" s="33"/>
      <c r="AZ155" s="33"/>
      <c r="BA155" s="33"/>
      <c r="BB155" s="33"/>
      <c r="BC155" s="33"/>
      <c r="BD155" s="33"/>
      <c r="BE155" s="33"/>
      <c r="BF155" s="33"/>
      <c r="BG155" s="33"/>
      <c r="BH155" s="33"/>
      <c r="BI155" s="33"/>
      <c r="BJ155" s="33"/>
      <c r="BK155" s="33"/>
      <c r="BL155" s="33"/>
      <c r="BM155" s="33"/>
    </row>
    <row r="156" spans="1:65" s="44" customFormat="1" x14ac:dyDescent="0.3">
      <c r="A156" s="222">
        <v>3431</v>
      </c>
      <c r="B156" s="236" t="s">
        <v>47</v>
      </c>
      <c r="C156" s="224">
        <v>1100</v>
      </c>
      <c r="D156" s="234">
        <v>0</v>
      </c>
      <c r="E156" s="234">
        <v>0</v>
      </c>
      <c r="F156" s="234">
        <v>0</v>
      </c>
      <c r="G156" s="228">
        <f>G157+G158</f>
        <v>1100</v>
      </c>
      <c r="H156" s="234">
        <v>0</v>
      </c>
      <c r="I156" s="233">
        <v>0</v>
      </c>
      <c r="J156" s="234">
        <v>0</v>
      </c>
      <c r="K156" s="234">
        <v>0</v>
      </c>
      <c r="L156" s="234">
        <v>0</v>
      </c>
      <c r="M156" s="234">
        <v>0</v>
      </c>
      <c r="N156" s="234">
        <v>0</v>
      </c>
      <c r="O156" s="234">
        <v>0</v>
      </c>
      <c r="P156" s="234">
        <v>0</v>
      </c>
      <c r="Q156" s="224">
        <f t="shared" si="4"/>
        <v>1100</v>
      </c>
      <c r="R156" s="191"/>
      <c r="S156" s="191">
        <f>8500/V131</f>
        <v>1128.1438715243214</v>
      </c>
      <c r="T156" s="229">
        <f>2916.21/V131</f>
        <v>387.04758112681662</v>
      </c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F156" s="33"/>
      <c r="AG156" s="33"/>
      <c r="AH156" s="33"/>
      <c r="AI156" s="33"/>
      <c r="AJ156" s="33"/>
      <c r="AK156" s="33"/>
      <c r="AL156" s="33"/>
      <c r="AM156" s="33"/>
      <c r="AN156" s="33"/>
      <c r="AO156" s="33"/>
      <c r="AP156" s="33"/>
      <c r="AQ156" s="33"/>
      <c r="AR156" s="33"/>
      <c r="AS156" s="33"/>
      <c r="AT156" s="33"/>
      <c r="AU156" s="33"/>
      <c r="AV156" s="33"/>
      <c r="AW156" s="33"/>
      <c r="AX156" s="33"/>
      <c r="AY156" s="33"/>
      <c r="AZ156" s="33"/>
      <c r="BA156" s="33"/>
      <c r="BB156" s="33"/>
      <c r="BC156" s="33"/>
      <c r="BD156" s="33"/>
      <c r="BE156" s="33"/>
      <c r="BF156" s="33"/>
      <c r="BG156" s="33"/>
      <c r="BH156" s="33"/>
      <c r="BI156" s="33"/>
      <c r="BJ156" s="33"/>
      <c r="BK156" s="33"/>
      <c r="BL156" s="33"/>
      <c r="BM156" s="33"/>
    </row>
    <row r="157" spans="1:65" s="32" customFormat="1" x14ac:dyDescent="0.3">
      <c r="A157" s="96">
        <v>34311</v>
      </c>
      <c r="B157" s="39" t="s">
        <v>119</v>
      </c>
      <c r="C157" s="127">
        <v>1000</v>
      </c>
      <c r="D157" s="67">
        <v>0</v>
      </c>
      <c r="E157" s="67">
        <v>0</v>
      </c>
      <c r="F157" s="67">
        <v>0</v>
      </c>
      <c r="G157" s="121">
        <v>1000</v>
      </c>
      <c r="H157" s="67">
        <v>0</v>
      </c>
      <c r="I157" s="67">
        <v>0</v>
      </c>
      <c r="J157" s="67">
        <v>0</v>
      </c>
      <c r="K157" s="67">
        <v>0</v>
      </c>
      <c r="L157" s="67">
        <v>0</v>
      </c>
      <c r="M157" s="67">
        <v>0</v>
      </c>
      <c r="N157" s="67">
        <v>0</v>
      </c>
      <c r="O157" s="67">
        <v>0</v>
      </c>
      <c r="P157" s="67">
        <v>0</v>
      </c>
      <c r="Q157" s="127">
        <f t="shared" si="4"/>
        <v>1000</v>
      </c>
      <c r="R157" s="128"/>
      <c r="S157" s="128">
        <f>8000/V131</f>
        <v>1061.7824673170085</v>
      </c>
      <c r="T157" s="176">
        <f>2916.21/V131</f>
        <v>387.04758112681662</v>
      </c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F157" s="33"/>
      <c r="AG157" s="33"/>
      <c r="AH157" s="33"/>
      <c r="AI157" s="33"/>
      <c r="AJ157" s="33"/>
      <c r="AK157" s="33"/>
      <c r="AL157" s="33"/>
      <c r="AM157" s="33"/>
      <c r="AN157" s="33"/>
      <c r="AO157" s="33"/>
      <c r="AP157" s="33"/>
      <c r="AQ157" s="33"/>
      <c r="AR157" s="33"/>
      <c r="AS157" s="33"/>
      <c r="AT157" s="33"/>
      <c r="AU157" s="33"/>
      <c r="AV157" s="33"/>
      <c r="AW157" s="33"/>
      <c r="AX157" s="33"/>
      <c r="AY157" s="33"/>
      <c r="AZ157" s="33"/>
      <c r="BA157" s="33"/>
      <c r="BB157" s="33"/>
      <c r="BC157" s="33"/>
      <c r="BD157" s="33"/>
      <c r="BE157" s="33"/>
      <c r="BF157" s="33"/>
      <c r="BG157" s="33"/>
      <c r="BH157" s="33"/>
      <c r="BI157" s="33"/>
      <c r="BJ157" s="33"/>
      <c r="BK157" s="33"/>
      <c r="BL157" s="33"/>
      <c r="BM157" s="33"/>
    </row>
    <row r="158" spans="1:65" s="32" customFormat="1" x14ac:dyDescent="0.3">
      <c r="A158" s="96">
        <v>34312</v>
      </c>
      <c r="B158" s="39" t="s">
        <v>153</v>
      </c>
      <c r="C158" s="127">
        <v>100</v>
      </c>
      <c r="D158" s="67">
        <v>0</v>
      </c>
      <c r="E158" s="67">
        <v>0</v>
      </c>
      <c r="F158" s="67">
        <v>0</v>
      </c>
      <c r="G158" s="121">
        <v>100</v>
      </c>
      <c r="H158" s="67">
        <v>0</v>
      </c>
      <c r="I158" s="67">
        <v>0</v>
      </c>
      <c r="J158" s="67">
        <v>0</v>
      </c>
      <c r="K158" s="67">
        <v>0</v>
      </c>
      <c r="L158" s="67">
        <v>0</v>
      </c>
      <c r="M158" s="67">
        <v>0</v>
      </c>
      <c r="N158" s="67">
        <v>0</v>
      </c>
      <c r="O158" s="67">
        <v>0</v>
      </c>
      <c r="P158" s="67">
        <v>0</v>
      </c>
      <c r="Q158" s="127">
        <f t="shared" si="4"/>
        <v>100</v>
      </c>
      <c r="R158" s="128"/>
      <c r="S158" s="128">
        <f>500/V131</f>
        <v>66.361404207313029</v>
      </c>
      <c r="T158" s="176">
        <v>0</v>
      </c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F158" s="33"/>
      <c r="AG158" s="33"/>
      <c r="AH158" s="33"/>
      <c r="AI158" s="33"/>
      <c r="AJ158" s="33"/>
      <c r="AK158" s="33"/>
      <c r="AL158" s="33"/>
      <c r="AM158" s="33"/>
      <c r="AN158" s="33"/>
      <c r="AO158" s="33"/>
      <c r="AP158" s="33"/>
      <c r="AQ158" s="33"/>
      <c r="AR158" s="33"/>
      <c r="AS158" s="33"/>
      <c r="AT158" s="33"/>
      <c r="AU158" s="33"/>
      <c r="AV158" s="33"/>
      <c r="AW158" s="33"/>
      <c r="AX158" s="33"/>
      <c r="AY158" s="33"/>
      <c r="AZ158" s="33"/>
      <c r="BA158" s="33"/>
      <c r="BB158" s="33"/>
      <c r="BC158" s="33"/>
      <c r="BD158" s="33"/>
      <c r="BE158" s="33"/>
      <c r="BF158" s="33"/>
      <c r="BG158" s="33"/>
      <c r="BH158" s="33"/>
      <c r="BI158" s="33"/>
      <c r="BJ158" s="33"/>
      <c r="BK158" s="33"/>
      <c r="BL158" s="33"/>
      <c r="BM158" s="33"/>
    </row>
    <row r="159" spans="1:65" s="44" customFormat="1" x14ac:dyDescent="0.3">
      <c r="A159" s="95">
        <v>3432</v>
      </c>
      <c r="B159" s="37" t="s">
        <v>65</v>
      </c>
      <c r="C159" s="126">
        <v>20</v>
      </c>
      <c r="D159" s="64">
        <v>0</v>
      </c>
      <c r="E159" s="64">
        <v>0</v>
      </c>
      <c r="F159" s="64">
        <v>0</v>
      </c>
      <c r="G159" s="120">
        <v>20</v>
      </c>
      <c r="H159" s="64">
        <v>0</v>
      </c>
      <c r="I159" s="116">
        <v>0</v>
      </c>
      <c r="J159" s="64">
        <v>0</v>
      </c>
      <c r="K159" s="64">
        <v>0</v>
      </c>
      <c r="L159" s="64">
        <v>0</v>
      </c>
      <c r="M159" s="64">
        <v>0</v>
      </c>
      <c r="N159" s="64">
        <v>0</v>
      </c>
      <c r="O159" s="64">
        <v>0</v>
      </c>
      <c r="P159" s="64">
        <v>0</v>
      </c>
      <c r="Q159" s="126">
        <f t="shared" si="4"/>
        <v>20</v>
      </c>
      <c r="R159" s="192"/>
      <c r="S159" s="192">
        <f>500/V131</f>
        <v>66.361404207313029</v>
      </c>
      <c r="T159" s="198">
        <f>26.65/V131</f>
        <v>3.537062844249784</v>
      </c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F159" s="33"/>
      <c r="AG159" s="33"/>
      <c r="AH159" s="33"/>
      <c r="AI159" s="33"/>
      <c r="AJ159" s="33"/>
      <c r="AK159" s="33"/>
      <c r="AL159" s="33"/>
      <c r="AM159" s="33"/>
      <c r="AN159" s="33"/>
      <c r="AO159" s="33"/>
      <c r="AP159" s="33"/>
      <c r="AQ159" s="33"/>
      <c r="AR159" s="33"/>
      <c r="AS159" s="33"/>
      <c r="AT159" s="33"/>
      <c r="AU159" s="33"/>
      <c r="AV159" s="33"/>
      <c r="AW159" s="33"/>
      <c r="AX159" s="33"/>
      <c r="AY159" s="33"/>
      <c r="AZ159" s="33"/>
      <c r="BA159" s="33"/>
      <c r="BB159" s="33"/>
      <c r="BC159" s="33"/>
      <c r="BD159" s="33"/>
      <c r="BE159" s="33"/>
      <c r="BF159" s="33"/>
      <c r="BG159" s="33"/>
      <c r="BH159" s="33"/>
      <c r="BI159" s="33"/>
      <c r="BJ159" s="33"/>
      <c r="BK159" s="33"/>
      <c r="BL159" s="33"/>
      <c r="BM159" s="33"/>
    </row>
    <row r="160" spans="1:65" s="44" customFormat="1" x14ac:dyDescent="0.3">
      <c r="A160" s="95">
        <v>3433</v>
      </c>
      <c r="B160" s="37" t="s">
        <v>53</v>
      </c>
      <c r="C160" s="126">
        <v>50</v>
      </c>
      <c r="D160" s="64">
        <v>0</v>
      </c>
      <c r="E160" s="64">
        <v>0</v>
      </c>
      <c r="F160" s="64">
        <v>0</v>
      </c>
      <c r="G160" s="120">
        <f>G163</f>
        <v>50</v>
      </c>
      <c r="H160" s="64">
        <v>0</v>
      </c>
      <c r="I160" s="116">
        <v>0</v>
      </c>
      <c r="J160" s="64">
        <v>0</v>
      </c>
      <c r="K160" s="64">
        <v>0</v>
      </c>
      <c r="L160" s="64">
        <v>0</v>
      </c>
      <c r="M160" s="64">
        <v>0</v>
      </c>
      <c r="N160" s="64">
        <v>0</v>
      </c>
      <c r="O160" s="64">
        <v>0</v>
      </c>
      <c r="P160" s="64">
        <v>0</v>
      </c>
      <c r="Q160" s="126">
        <f t="shared" si="4"/>
        <v>50</v>
      </c>
      <c r="R160" s="192"/>
      <c r="S160" s="192">
        <f>19300/V131</f>
        <v>2561.5502024022826</v>
      </c>
      <c r="T160" s="198">
        <f>8401.78/V131</f>
        <v>1115.107837281837</v>
      </c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F160" s="33"/>
      <c r="AG160" s="33"/>
      <c r="AH160" s="33"/>
      <c r="AI160" s="33"/>
      <c r="AJ160" s="33"/>
      <c r="AK160" s="33"/>
      <c r="AL160" s="33"/>
      <c r="AM160" s="33"/>
      <c r="AN160" s="33"/>
      <c r="AO160" s="33"/>
      <c r="AP160" s="33"/>
      <c r="AQ160" s="33"/>
      <c r="AR160" s="33"/>
      <c r="AS160" s="33"/>
      <c r="AT160" s="33"/>
      <c r="AU160" s="33"/>
      <c r="AV160" s="33"/>
      <c r="AW160" s="33"/>
      <c r="AX160" s="33"/>
      <c r="AY160" s="33"/>
      <c r="AZ160" s="33"/>
      <c r="BA160" s="33"/>
      <c r="BB160" s="33"/>
      <c r="BC160" s="33"/>
      <c r="BD160" s="33"/>
      <c r="BE160" s="33"/>
      <c r="BF160" s="33"/>
      <c r="BG160" s="33"/>
      <c r="BH160" s="33"/>
      <c r="BI160" s="33"/>
      <c r="BJ160" s="33"/>
      <c r="BK160" s="33"/>
      <c r="BL160" s="33"/>
      <c r="BM160" s="33"/>
    </row>
    <row r="161" spans="1:65" s="33" customFormat="1" x14ac:dyDescent="0.3">
      <c r="A161" s="97">
        <v>34331</v>
      </c>
      <c r="B161" s="41" t="s">
        <v>168</v>
      </c>
      <c r="C161" s="127">
        <v>0</v>
      </c>
      <c r="D161" s="66">
        <v>0</v>
      </c>
      <c r="E161" s="66">
        <v>0</v>
      </c>
      <c r="F161" s="66">
        <v>0</v>
      </c>
      <c r="G161" s="122">
        <v>0</v>
      </c>
      <c r="H161" s="66">
        <v>0</v>
      </c>
      <c r="I161" s="117">
        <v>0</v>
      </c>
      <c r="J161" s="66">
        <v>0</v>
      </c>
      <c r="K161" s="66">
        <v>0</v>
      </c>
      <c r="L161" s="66">
        <v>0</v>
      </c>
      <c r="M161" s="66">
        <v>0</v>
      </c>
      <c r="N161" s="66">
        <v>0</v>
      </c>
      <c r="O161" s="66">
        <v>0</v>
      </c>
      <c r="P161" s="66">
        <v>0</v>
      </c>
      <c r="Q161" s="127">
        <f t="shared" si="4"/>
        <v>0</v>
      </c>
      <c r="R161" s="128"/>
      <c r="S161" s="128">
        <f>1000/V131</f>
        <v>132.72280841462606</v>
      </c>
      <c r="T161" s="176">
        <f>167.13/V131</f>
        <v>22.18196297033645</v>
      </c>
    </row>
    <row r="162" spans="1:65" s="33" customFormat="1" x14ac:dyDescent="0.3">
      <c r="A162" s="97">
        <v>34332</v>
      </c>
      <c r="B162" s="41" t="s">
        <v>169</v>
      </c>
      <c r="C162" s="127">
        <v>0</v>
      </c>
      <c r="D162" s="66">
        <v>0</v>
      </c>
      <c r="E162" s="66">
        <v>0</v>
      </c>
      <c r="F162" s="66">
        <v>0</v>
      </c>
      <c r="G162" s="122">
        <v>0</v>
      </c>
      <c r="H162" s="66">
        <v>0</v>
      </c>
      <c r="I162" s="117">
        <v>0</v>
      </c>
      <c r="J162" s="66">
        <v>0</v>
      </c>
      <c r="K162" s="66">
        <v>0</v>
      </c>
      <c r="L162" s="66">
        <v>0</v>
      </c>
      <c r="M162" s="66">
        <v>0</v>
      </c>
      <c r="N162" s="66">
        <v>0</v>
      </c>
      <c r="O162" s="66">
        <v>0</v>
      </c>
      <c r="P162" s="66">
        <v>0</v>
      </c>
      <c r="Q162" s="127">
        <f t="shared" si="4"/>
        <v>0</v>
      </c>
      <c r="R162" s="128"/>
      <c r="S162" s="128">
        <f>8000/V131</f>
        <v>1061.7824673170085</v>
      </c>
      <c r="T162" s="176">
        <f>2984.45/V131</f>
        <v>396.1045855730307</v>
      </c>
    </row>
    <row r="163" spans="1:65" s="31" customFormat="1" ht="19.5" thickBot="1" x14ac:dyDescent="0.35">
      <c r="A163" s="98">
        <v>34339</v>
      </c>
      <c r="B163" s="46" t="s">
        <v>170</v>
      </c>
      <c r="C163" s="125">
        <v>50</v>
      </c>
      <c r="D163" s="65">
        <v>0</v>
      </c>
      <c r="E163" s="65">
        <v>0</v>
      </c>
      <c r="F163" s="65">
        <v>0</v>
      </c>
      <c r="G163" s="186">
        <v>50</v>
      </c>
      <c r="H163" s="65">
        <v>0</v>
      </c>
      <c r="I163" s="115">
        <v>0</v>
      </c>
      <c r="J163" s="65">
        <v>0</v>
      </c>
      <c r="K163" s="65">
        <v>0</v>
      </c>
      <c r="L163" s="65">
        <v>0</v>
      </c>
      <c r="M163" s="65">
        <v>0</v>
      </c>
      <c r="N163" s="65">
        <v>0</v>
      </c>
      <c r="O163" s="65">
        <v>0</v>
      </c>
      <c r="P163" s="65">
        <v>0</v>
      </c>
      <c r="Q163" s="125">
        <f t="shared" si="4"/>
        <v>50</v>
      </c>
      <c r="R163" s="190"/>
      <c r="S163" s="190">
        <f>10300/V131</f>
        <v>1367.0449266706482</v>
      </c>
      <c r="T163" s="217">
        <f>5250.2/V131</f>
        <v>696.82128873846966</v>
      </c>
    </row>
    <row r="164" spans="1:65" s="31" customFormat="1" ht="37.5" thickBot="1" x14ac:dyDescent="0.35">
      <c r="A164" s="272">
        <v>372</v>
      </c>
      <c r="B164" s="273" t="s">
        <v>171</v>
      </c>
      <c r="C164" s="274">
        <v>800</v>
      </c>
      <c r="D164" s="275">
        <v>0</v>
      </c>
      <c r="E164" s="275">
        <v>0</v>
      </c>
      <c r="F164" s="275">
        <v>0</v>
      </c>
      <c r="G164" s="276">
        <f>G168</f>
        <v>0</v>
      </c>
      <c r="H164" s="275">
        <v>0</v>
      </c>
      <c r="I164" s="277">
        <f>I165</f>
        <v>800</v>
      </c>
      <c r="J164" s="275">
        <v>0</v>
      </c>
      <c r="K164" s="275">
        <v>0</v>
      </c>
      <c r="L164" s="275">
        <v>0</v>
      </c>
      <c r="M164" s="275">
        <v>0</v>
      </c>
      <c r="N164" s="275">
        <v>0</v>
      </c>
      <c r="O164" s="275">
        <v>0</v>
      </c>
      <c r="P164" s="275">
        <v>0</v>
      </c>
      <c r="Q164" s="274">
        <f t="shared" si="4"/>
        <v>800</v>
      </c>
      <c r="R164" s="274"/>
      <c r="S164" s="274">
        <f>2000/V131</f>
        <v>265.44561682925212</v>
      </c>
      <c r="T164" s="278">
        <v>0</v>
      </c>
    </row>
    <row r="165" spans="1:65" s="31" customFormat="1" ht="36.75" x14ac:dyDescent="0.3">
      <c r="A165" s="295">
        <v>3721</v>
      </c>
      <c r="B165" s="296" t="s">
        <v>211</v>
      </c>
      <c r="C165" s="297">
        <v>800</v>
      </c>
      <c r="D165" s="298">
        <v>0</v>
      </c>
      <c r="E165" s="298">
        <v>0</v>
      </c>
      <c r="F165" s="298">
        <v>0</v>
      </c>
      <c r="G165" s="299">
        <v>0</v>
      </c>
      <c r="H165" s="298">
        <v>0</v>
      </c>
      <c r="I165" s="300">
        <f>I166</f>
        <v>800</v>
      </c>
      <c r="J165" s="298">
        <v>0</v>
      </c>
      <c r="K165" s="298">
        <v>0</v>
      </c>
      <c r="L165" s="298">
        <v>0</v>
      </c>
      <c r="M165" s="298">
        <v>0</v>
      </c>
      <c r="N165" s="298">
        <v>0</v>
      </c>
      <c r="O165" s="298">
        <v>0</v>
      </c>
      <c r="P165" s="298">
        <v>0</v>
      </c>
      <c r="Q165" s="297">
        <f t="shared" si="4"/>
        <v>800</v>
      </c>
      <c r="R165" s="297"/>
      <c r="S165" s="297">
        <v>0</v>
      </c>
      <c r="T165" s="301">
        <v>0</v>
      </c>
    </row>
    <row r="166" spans="1:65" s="31" customFormat="1" ht="36.75" x14ac:dyDescent="0.3">
      <c r="A166" s="294">
        <v>37219</v>
      </c>
      <c r="B166" s="42" t="s">
        <v>212</v>
      </c>
      <c r="C166" s="302">
        <v>800</v>
      </c>
      <c r="D166" s="66">
        <v>0</v>
      </c>
      <c r="E166" s="66">
        <v>0</v>
      </c>
      <c r="F166" s="66">
        <v>0</v>
      </c>
      <c r="G166" s="303">
        <v>0</v>
      </c>
      <c r="H166" s="66">
        <v>0</v>
      </c>
      <c r="I166" s="304">
        <v>800</v>
      </c>
      <c r="J166" s="66"/>
      <c r="K166" s="66"/>
      <c r="L166" s="66"/>
      <c r="M166" s="66"/>
      <c r="N166" s="66"/>
      <c r="O166" s="66"/>
      <c r="P166" s="66"/>
      <c r="Q166" s="302">
        <f t="shared" si="4"/>
        <v>800</v>
      </c>
      <c r="R166" s="302"/>
      <c r="S166" s="302">
        <v>0</v>
      </c>
      <c r="T166" s="305">
        <v>0</v>
      </c>
    </row>
    <row r="167" spans="1:65" s="31" customFormat="1" x14ac:dyDescent="0.3">
      <c r="A167" s="95">
        <v>3722</v>
      </c>
      <c r="B167" s="37" t="s">
        <v>172</v>
      </c>
      <c r="C167" s="126">
        <v>0</v>
      </c>
      <c r="D167" s="64">
        <v>0</v>
      </c>
      <c r="E167" s="64">
        <v>0</v>
      </c>
      <c r="F167" s="64">
        <v>0</v>
      </c>
      <c r="G167" s="120">
        <f>G168</f>
        <v>0</v>
      </c>
      <c r="H167" s="64">
        <v>0</v>
      </c>
      <c r="I167" s="116">
        <v>0</v>
      </c>
      <c r="J167" s="64">
        <v>0</v>
      </c>
      <c r="K167" s="64">
        <v>0</v>
      </c>
      <c r="L167" s="64">
        <v>0</v>
      </c>
      <c r="M167" s="64">
        <v>0</v>
      </c>
      <c r="N167" s="64">
        <v>0</v>
      </c>
      <c r="O167" s="64">
        <v>0</v>
      </c>
      <c r="P167" s="64">
        <v>0</v>
      </c>
      <c r="Q167" s="126">
        <f t="shared" si="4"/>
        <v>0</v>
      </c>
      <c r="R167" s="192"/>
      <c r="S167" s="192">
        <f>2000/V131</f>
        <v>265.44561682925212</v>
      </c>
      <c r="T167" s="198">
        <v>0</v>
      </c>
    </row>
    <row r="168" spans="1:65" s="31" customFormat="1" ht="37.5" thickBot="1" x14ac:dyDescent="0.35">
      <c r="A168" s="286">
        <v>37229</v>
      </c>
      <c r="B168" s="287" t="s">
        <v>173</v>
      </c>
      <c r="C168" s="288">
        <v>0</v>
      </c>
      <c r="D168" s="289">
        <v>0</v>
      </c>
      <c r="E168" s="289">
        <v>0</v>
      </c>
      <c r="F168" s="289">
        <v>0</v>
      </c>
      <c r="G168" s="290">
        <v>0</v>
      </c>
      <c r="H168" s="289">
        <v>0</v>
      </c>
      <c r="I168" s="291">
        <v>0</v>
      </c>
      <c r="J168" s="289">
        <v>0</v>
      </c>
      <c r="K168" s="289">
        <v>0</v>
      </c>
      <c r="L168" s="289">
        <v>0</v>
      </c>
      <c r="M168" s="289">
        <v>0</v>
      </c>
      <c r="N168" s="289">
        <v>0</v>
      </c>
      <c r="O168" s="289">
        <v>0</v>
      </c>
      <c r="P168" s="289">
        <v>0</v>
      </c>
      <c r="Q168" s="288">
        <f t="shared" si="4"/>
        <v>0</v>
      </c>
      <c r="R168" s="292"/>
      <c r="S168" s="292">
        <f>2000/V131</f>
        <v>265.44561682925212</v>
      </c>
      <c r="T168" s="293">
        <v>0</v>
      </c>
    </row>
    <row r="169" spans="1:65" ht="19.5" thickBot="1" x14ac:dyDescent="0.35">
      <c r="A169" s="279"/>
      <c r="B169" s="280"/>
      <c r="C169" s="281">
        <v>3400</v>
      </c>
      <c r="D169" s="282">
        <v>0</v>
      </c>
      <c r="E169" s="283">
        <f>E173</f>
        <v>0</v>
      </c>
      <c r="F169" s="282">
        <v>0</v>
      </c>
      <c r="G169" s="284">
        <f>G170+G173</f>
        <v>700</v>
      </c>
      <c r="H169" s="282">
        <v>0</v>
      </c>
      <c r="I169" s="283">
        <f>I173</f>
        <v>700</v>
      </c>
      <c r="J169" s="282">
        <v>0</v>
      </c>
      <c r="K169" s="282">
        <v>0</v>
      </c>
      <c r="L169" s="282">
        <v>0</v>
      </c>
      <c r="M169" s="282">
        <f>M173</f>
        <v>2000</v>
      </c>
      <c r="N169" s="282">
        <v>0</v>
      </c>
      <c r="O169" s="282">
        <v>0</v>
      </c>
      <c r="P169" s="282">
        <v>0</v>
      </c>
      <c r="Q169" s="281">
        <f t="shared" si="4"/>
        <v>3400</v>
      </c>
      <c r="R169" s="281"/>
      <c r="S169" s="281">
        <f>155000/V131</f>
        <v>20572.035304267036</v>
      </c>
      <c r="T169" s="285">
        <f>97479.72/V131</f>
        <v>12937.78220187139</v>
      </c>
    </row>
    <row r="170" spans="1:65" ht="55.5" thickBot="1" x14ac:dyDescent="0.35">
      <c r="A170" s="69">
        <v>41</v>
      </c>
      <c r="B170" s="181" t="s">
        <v>64</v>
      </c>
      <c r="C170" s="182">
        <v>700</v>
      </c>
      <c r="D170" s="71">
        <v>0</v>
      </c>
      <c r="E170" s="119">
        <v>0</v>
      </c>
      <c r="F170" s="71">
        <v>0</v>
      </c>
      <c r="G170" s="183">
        <f>G171</f>
        <v>700</v>
      </c>
      <c r="H170" s="71">
        <v>0</v>
      </c>
      <c r="I170" s="119">
        <v>0</v>
      </c>
      <c r="J170" s="71">
        <v>0</v>
      </c>
      <c r="K170" s="71">
        <v>0</v>
      </c>
      <c r="L170" s="71">
        <v>0</v>
      </c>
      <c r="M170" s="71">
        <v>0</v>
      </c>
      <c r="N170" s="71">
        <v>0</v>
      </c>
      <c r="O170" s="71">
        <v>0</v>
      </c>
      <c r="P170" s="71">
        <v>0</v>
      </c>
      <c r="Q170" s="182">
        <f t="shared" si="4"/>
        <v>700</v>
      </c>
      <c r="R170" s="182"/>
      <c r="S170" s="182">
        <f>10000/V131</f>
        <v>1327.2280841462605</v>
      </c>
      <c r="T170" s="184">
        <f>6000/V131</f>
        <v>796.33685048775624</v>
      </c>
    </row>
    <row r="171" spans="1:65" ht="19.5" thickBot="1" x14ac:dyDescent="0.35">
      <c r="A171" s="69">
        <v>412</v>
      </c>
      <c r="B171" s="239" t="s">
        <v>62</v>
      </c>
      <c r="C171" s="182">
        <v>700</v>
      </c>
      <c r="D171" s="71">
        <v>0</v>
      </c>
      <c r="E171" s="119">
        <v>0</v>
      </c>
      <c r="F171" s="71">
        <v>0</v>
      </c>
      <c r="G171" s="240">
        <f>G172</f>
        <v>700</v>
      </c>
      <c r="H171" s="71">
        <v>0</v>
      </c>
      <c r="I171" s="119">
        <v>0</v>
      </c>
      <c r="J171" s="71">
        <v>0</v>
      </c>
      <c r="K171" s="71">
        <v>0</v>
      </c>
      <c r="L171" s="71">
        <v>0</v>
      </c>
      <c r="M171" s="71">
        <v>0</v>
      </c>
      <c r="N171" s="71">
        <v>0</v>
      </c>
      <c r="O171" s="71">
        <v>0</v>
      </c>
      <c r="P171" s="71">
        <v>0</v>
      </c>
      <c r="Q171" s="182">
        <f t="shared" si="4"/>
        <v>700</v>
      </c>
      <c r="R171" s="182"/>
      <c r="S171" s="182">
        <f>10000/V131</f>
        <v>1327.2280841462605</v>
      </c>
      <c r="T171" s="184">
        <f>6000/V131</f>
        <v>796.33685048775624</v>
      </c>
    </row>
    <row r="172" spans="1:65" ht="19.5" thickBot="1" x14ac:dyDescent="0.35">
      <c r="A172" s="241">
        <v>4124</v>
      </c>
      <c r="B172" s="242" t="s">
        <v>63</v>
      </c>
      <c r="C172" s="243">
        <v>700</v>
      </c>
      <c r="D172" s="245">
        <v>0</v>
      </c>
      <c r="E172" s="244">
        <v>0</v>
      </c>
      <c r="F172" s="245">
        <v>0</v>
      </c>
      <c r="G172" s="246">
        <v>700</v>
      </c>
      <c r="H172" s="245">
        <v>0</v>
      </c>
      <c r="I172" s="244">
        <v>0</v>
      </c>
      <c r="J172" s="245">
        <v>0</v>
      </c>
      <c r="K172" s="245">
        <v>0</v>
      </c>
      <c r="L172" s="245">
        <v>0</v>
      </c>
      <c r="M172" s="245">
        <v>0</v>
      </c>
      <c r="N172" s="245">
        <v>0</v>
      </c>
      <c r="O172" s="245">
        <v>0</v>
      </c>
      <c r="P172" s="245">
        <v>0</v>
      </c>
      <c r="Q172" s="243">
        <f t="shared" si="4"/>
        <v>700</v>
      </c>
      <c r="R172" s="193"/>
      <c r="S172" s="193">
        <f>10000/V131</f>
        <v>1327.2280841462605</v>
      </c>
      <c r="T172" s="247">
        <f>6000/V131</f>
        <v>796.33685048775624</v>
      </c>
    </row>
    <row r="173" spans="1:65" ht="55.5" thickBot="1" x14ac:dyDescent="0.35">
      <c r="A173" s="69">
        <v>42</v>
      </c>
      <c r="B173" s="248" t="s">
        <v>21</v>
      </c>
      <c r="C173" s="182">
        <v>2700</v>
      </c>
      <c r="D173" s="71">
        <v>0</v>
      </c>
      <c r="E173" s="119">
        <f>E174</f>
        <v>0</v>
      </c>
      <c r="F173" s="71">
        <v>0</v>
      </c>
      <c r="G173" s="183">
        <f>G174+G191</f>
        <v>0</v>
      </c>
      <c r="H173" s="71">
        <v>0</v>
      </c>
      <c r="I173" s="119">
        <f>I191</f>
        <v>700</v>
      </c>
      <c r="J173" s="71">
        <v>0</v>
      </c>
      <c r="K173" s="71">
        <v>0</v>
      </c>
      <c r="L173" s="71">
        <v>0</v>
      </c>
      <c r="M173" s="71">
        <f>M174</f>
        <v>2000</v>
      </c>
      <c r="N173" s="71">
        <v>0</v>
      </c>
      <c r="O173" s="71">
        <v>0</v>
      </c>
      <c r="P173" s="71">
        <v>0</v>
      </c>
      <c r="Q173" s="182">
        <f t="shared" si="4"/>
        <v>2700</v>
      </c>
      <c r="R173" s="182"/>
      <c r="S173" s="182">
        <f>145000/V131</f>
        <v>19244.807220120776</v>
      </c>
      <c r="T173" s="184">
        <f>91479.72/V131</f>
        <v>12141.445351383634</v>
      </c>
    </row>
    <row r="174" spans="1:65" s="32" customFormat="1" ht="19.5" thickBot="1" x14ac:dyDescent="0.35">
      <c r="A174" s="69">
        <v>422</v>
      </c>
      <c r="B174" s="250" t="s">
        <v>22</v>
      </c>
      <c r="C174" s="182">
        <v>2000</v>
      </c>
      <c r="D174" s="71">
        <v>0</v>
      </c>
      <c r="E174" s="119">
        <f>E187</f>
        <v>0</v>
      </c>
      <c r="F174" s="71">
        <v>0</v>
      </c>
      <c r="G174" s="183">
        <f>G175+G179+G183+G187+G189</f>
        <v>0</v>
      </c>
      <c r="H174" s="71">
        <v>0</v>
      </c>
      <c r="I174" s="119">
        <v>0</v>
      </c>
      <c r="J174" s="71">
        <v>0</v>
      </c>
      <c r="K174" s="71">
        <v>0</v>
      </c>
      <c r="L174" s="71">
        <v>0</v>
      </c>
      <c r="M174" s="71">
        <f>M187</f>
        <v>2000</v>
      </c>
      <c r="N174" s="71">
        <v>0</v>
      </c>
      <c r="O174" s="71">
        <v>0</v>
      </c>
      <c r="P174" s="71">
        <v>0</v>
      </c>
      <c r="Q174" s="182">
        <f t="shared" si="4"/>
        <v>2000</v>
      </c>
      <c r="R174" s="182"/>
      <c r="S174" s="182">
        <f>127000/V131</f>
        <v>16855.796668657509</v>
      </c>
      <c r="T174" s="184">
        <f>90780.73/V131</f>
        <v>12048.673435529894</v>
      </c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F174" s="33"/>
      <c r="AG174" s="33"/>
      <c r="AH174" s="33"/>
      <c r="AI174" s="33"/>
      <c r="AJ174" s="33"/>
      <c r="AK174" s="33"/>
      <c r="AL174" s="33"/>
      <c r="AM174" s="33"/>
      <c r="AN174" s="33"/>
      <c r="AO174" s="33"/>
      <c r="AP174" s="33"/>
      <c r="AQ174" s="33"/>
      <c r="AR174" s="33"/>
      <c r="AS174" s="33"/>
      <c r="AT174" s="33"/>
      <c r="AU174" s="33"/>
      <c r="AV174" s="33"/>
      <c r="AW174" s="33"/>
      <c r="AX174" s="33"/>
      <c r="AY174" s="33"/>
      <c r="AZ174" s="33"/>
      <c r="BA174" s="33"/>
      <c r="BB174" s="33"/>
      <c r="BC174" s="33"/>
      <c r="BD174" s="33"/>
      <c r="BE174" s="33"/>
      <c r="BF174" s="33"/>
      <c r="BG174" s="33"/>
      <c r="BH174" s="33"/>
      <c r="BI174" s="33"/>
      <c r="BJ174" s="33"/>
      <c r="BK174" s="33"/>
      <c r="BL174" s="33"/>
      <c r="BM174" s="33"/>
    </row>
    <row r="175" spans="1:65" s="36" customFormat="1" x14ac:dyDescent="0.3">
      <c r="A175" s="222">
        <v>4221</v>
      </c>
      <c r="B175" s="249" t="s">
        <v>48</v>
      </c>
      <c r="C175" s="224">
        <v>0</v>
      </c>
      <c r="D175" s="234">
        <v>0</v>
      </c>
      <c r="E175" s="233">
        <v>0</v>
      </c>
      <c r="F175" s="234">
        <v>0</v>
      </c>
      <c r="G175" s="228">
        <f>G176+G177+G178</f>
        <v>0</v>
      </c>
      <c r="H175" s="234">
        <v>0</v>
      </c>
      <c r="I175" s="233">
        <v>0</v>
      </c>
      <c r="J175" s="234">
        <v>0</v>
      </c>
      <c r="K175" s="234">
        <v>0</v>
      </c>
      <c r="L175" s="234">
        <v>0</v>
      </c>
      <c r="M175" s="234">
        <v>0</v>
      </c>
      <c r="N175" s="234">
        <v>0</v>
      </c>
      <c r="O175" s="234">
        <v>0</v>
      </c>
      <c r="P175" s="234">
        <v>0</v>
      </c>
      <c r="Q175" s="224">
        <f t="shared" si="4"/>
        <v>0</v>
      </c>
      <c r="R175" s="191"/>
      <c r="S175" s="191">
        <f>15000/V131</f>
        <v>1990.8421262193906</v>
      </c>
      <c r="T175" s="229">
        <f>5189.75/V131</f>
        <v>688.79819496980554</v>
      </c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1"/>
      <c r="AJ175" s="31"/>
      <c r="AK175" s="31"/>
      <c r="AL175" s="31"/>
      <c r="AM175" s="31"/>
      <c r="AN175" s="31"/>
      <c r="AO175" s="31"/>
      <c r="AP175" s="31"/>
      <c r="AQ175" s="31"/>
      <c r="AR175" s="31"/>
      <c r="AS175" s="31"/>
      <c r="AT175" s="31"/>
      <c r="AU175" s="31"/>
      <c r="AV175" s="31"/>
      <c r="AW175" s="31"/>
      <c r="AX175" s="31"/>
      <c r="AY175" s="31"/>
      <c r="AZ175" s="31"/>
      <c r="BA175" s="31"/>
      <c r="BB175" s="31"/>
      <c r="BC175" s="31"/>
      <c r="BD175" s="31"/>
      <c r="BE175" s="31"/>
      <c r="BF175" s="31"/>
      <c r="BG175" s="31"/>
      <c r="BH175" s="31"/>
      <c r="BI175" s="31"/>
      <c r="BJ175" s="31"/>
      <c r="BK175" s="31"/>
      <c r="BL175" s="31"/>
      <c r="BM175" s="31"/>
    </row>
    <row r="176" spans="1:65" x14ac:dyDescent="0.3">
      <c r="A176" s="103">
        <v>42211</v>
      </c>
      <c r="B176" s="104" t="s">
        <v>123</v>
      </c>
      <c r="C176" s="127">
        <v>0</v>
      </c>
      <c r="D176" s="101">
        <v>0</v>
      </c>
      <c r="E176" s="101">
        <v>0</v>
      </c>
      <c r="F176" s="101">
        <v>0</v>
      </c>
      <c r="G176" s="121">
        <v>0</v>
      </c>
      <c r="H176" s="101">
        <v>0</v>
      </c>
      <c r="I176" s="101">
        <v>0</v>
      </c>
      <c r="J176" s="101">
        <v>0</v>
      </c>
      <c r="K176" s="101">
        <v>0</v>
      </c>
      <c r="L176" s="101">
        <v>0</v>
      </c>
      <c r="M176" s="101">
        <v>0</v>
      </c>
      <c r="N176" s="101">
        <v>0</v>
      </c>
      <c r="O176" s="101">
        <v>0</v>
      </c>
      <c r="P176" s="101">
        <v>0</v>
      </c>
      <c r="Q176" s="127">
        <f t="shared" si="4"/>
        <v>0</v>
      </c>
      <c r="R176" s="128"/>
      <c r="S176" s="128">
        <f>5000/V131</f>
        <v>663.61404207313024</v>
      </c>
      <c r="T176" s="176">
        <f>2498.75/V131</f>
        <v>331.64111752604686</v>
      </c>
    </row>
    <row r="177" spans="1:65" x14ac:dyDescent="0.3">
      <c r="A177" s="103">
        <v>42212</v>
      </c>
      <c r="B177" s="104" t="s">
        <v>141</v>
      </c>
      <c r="C177" s="127">
        <v>0</v>
      </c>
      <c r="D177" s="101">
        <v>0</v>
      </c>
      <c r="E177" s="101">
        <v>0</v>
      </c>
      <c r="F177" s="101">
        <v>0</v>
      </c>
      <c r="G177" s="121">
        <v>0</v>
      </c>
      <c r="H177" s="101">
        <v>0</v>
      </c>
      <c r="I177" s="101">
        <v>0</v>
      </c>
      <c r="J177" s="101">
        <v>0</v>
      </c>
      <c r="K177" s="101">
        <v>0</v>
      </c>
      <c r="L177" s="101">
        <v>0</v>
      </c>
      <c r="M177" s="101">
        <v>0</v>
      </c>
      <c r="N177" s="101">
        <v>0</v>
      </c>
      <c r="O177" s="101">
        <v>0</v>
      </c>
      <c r="P177" s="101">
        <v>0</v>
      </c>
      <c r="Q177" s="127">
        <f t="shared" si="4"/>
        <v>0</v>
      </c>
      <c r="R177" s="128"/>
      <c r="S177" s="128">
        <f>5000/V131</f>
        <v>663.61404207313024</v>
      </c>
      <c r="T177" s="176">
        <f>2691/V131</f>
        <v>357.15707744375868</v>
      </c>
    </row>
    <row r="178" spans="1:65" x14ac:dyDescent="0.3">
      <c r="A178" s="103">
        <v>42219</v>
      </c>
      <c r="B178" s="104" t="s">
        <v>124</v>
      </c>
      <c r="C178" s="127">
        <v>0</v>
      </c>
      <c r="D178" s="101">
        <v>0</v>
      </c>
      <c r="E178" s="101">
        <v>0</v>
      </c>
      <c r="F178" s="101">
        <v>0</v>
      </c>
      <c r="G178" s="121">
        <v>0</v>
      </c>
      <c r="H178" s="101">
        <v>0</v>
      </c>
      <c r="I178" s="101">
        <v>0</v>
      </c>
      <c r="J178" s="101">
        <v>0</v>
      </c>
      <c r="K178" s="101">
        <v>0</v>
      </c>
      <c r="L178" s="101">
        <v>0</v>
      </c>
      <c r="M178" s="101">
        <v>0</v>
      </c>
      <c r="N178" s="101">
        <v>0</v>
      </c>
      <c r="O178" s="101">
        <v>0</v>
      </c>
      <c r="P178" s="101">
        <v>0</v>
      </c>
      <c r="Q178" s="127">
        <f t="shared" si="4"/>
        <v>0</v>
      </c>
      <c r="R178" s="128"/>
      <c r="S178" s="128">
        <f>5000/V131</f>
        <v>663.61404207313024</v>
      </c>
      <c r="T178" s="176">
        <v>0</v>
      </c>
    </row>
    <row r="179" spans="1:65" s="36" customFormat="1" x14ac:dyDescent="0.3">
      <c r="A179" s="95">
        <v>4222</v>
      </c>
      <c r="B179" s="47" t="s">
        <v>49</v>
      </c>
      <c r="C179" s="126">
        <v>0</v>
      </c>
      <c r="D179" s="64">
        <v>0</v>
      </c>
      <c r="E179" s="116">
        <v>0</v>
      </c>
      <c r="F179" s="64">
        <v>0</v>
      </c>
      <c r="G179" s="120">
        <f>G180+G182+G181</f>
        <v>0</v>
      </c>
      <c r="H179" s="64">
        <v>0</v>
      </c>
      <c r="I179" s="116">
        <v>0</v>
      </c>
      <c r="J179" s="64">
        <v>0</v>
      </c>
      <c r="K179" s="64">
        <v>0</v>
      </c>
      <c r="L179" s="64">
        <v>0</v>
      </c>
      <c r="M179" s="64">
        <v>0</v>
      </c>
      <c r="N179" s="64">
        <v>0</v>
      </c>
      <c r="O179" s="64">
        <v>0</v>
      </c>
      <c r="P179" s="64">
        <v>0</v>
      </c>
      <c r="Q179" s="126">
        <f t="shared" si="4"/>
        <v>0</v>
      </c>
      <c r="R179" s="192"/>
      <c r="S179" s="192">
        <f>14000/V131</f>
        <v>1858.1193178047647</v>
      </c>
      <c r="T179" s="198">
        <f>7978.73/V131</f>
        <v>1058.9594531820292</v>
      </c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  <c r="AJ179" s="31"/>
      <c r="AK179" s="31"/>
      <c r="AL179" s="31"/>
      <c r="AM179" s="31"/>
      <c r="AN179" s="31"/>
      <c r="AO179" s="31"/>
      <c r="AP179" s="31"/>
      <c r="AQ179" s="31"/>
      <c r="AR179" s="31"/>
      <c r="AS179" s="31"/>
      <c r="AT179" s="31"/>
      <c r="AU179" s="31"/>
      <c r="AV179" s="31"/>
      <c r="AW179" s="31"/>
      <c r="AX179" s="31"/>
      <c r="AY179" s="31"/>
      <c r="AZ179" s="31"/>
      <c r="BA179" s="31"/>
      <c r="BB179" s="31"/>
      <c r="BC179" s="31"/>
      <c r="BD179" s="31"/>
      <c r="BE179" s="31"/>
      <c r="BF179" s="31"/>
      <c r="BG179" s="31"/>
      <c r="BH179" s="31"/>
      <c r="BI179" s="31"/>
      <c r="BJ179" s="31"/>
      <c r="BK179" s="31"/>
      <c r="BL179" s="31"/>
      <c r="BM179" s="31"/>
    </row>
    <row r="180" spans="1:65" s="31" customFormat="1" x14ac:dyDescent="0.3">
      <c r="A180" s="97">
        <v>42221</v>
      </c>
      <c r="B180" s="48" t="s">
        <v>147</v>
      </c>
      <c r="C180" s="127">
        <v>0</v>
      </c>
      <c r="D180" s="66">
        <v>0</v>
      </c>
      <c r="E180" s="117">
        <v>0</v>
      </c>
      <c r="F180" s="66">
        <v>0</v>
      </c>
      <c r="G180" s="122">
        <v>0</v>
      </c>
      <c r="H180" s="66">
        <v>0</v>
      </c>
      <c r="I180" s="117">
        <v>0</v>
      </c>
      <c r="J180" s="66">
        <v>0</v>
      </c>
      <c r="K180" s="66">
        <v>0</v>
      </c>
      <c r="L180" s="66">
        <v>0</v>
      </c>
      <c r="M180" s="66">
        <v>0</v>
      </c>
      <c r="N180" s="66">
        <v>0</v>
      </c>
      <c r="O180" s="66">
        <v>0</v>
      </c>
      <c r="P180" s="66">
        <v>0</v>
      </c>
      <c r="Q180" s="127">
        <f t="shared" si="4"/>
        <v>0</v>
      </c>
      <c r="R180" s="128"/>
      <c r="S180" s="128">
        <f>5000/V131</f>
        <v>663.61404207313024</v>
      </c>
      <c r="T180" s="176">
        <v>0</v>
      </c>
    </row>
    <row r="181" spans="1:65" s="31" customFormat="1" x14ac:dyDescent="0.3">
      <c r="A181" s="97">
        <v>42222</v>
      </c>
      <c r="B181" s="48" t="s">
        <v>145</v>
      </c>
      <c r="C181" s="127">
        <v>0</v>
      </c>
      <c r="D181" s="66">
        <v>0</v>
      </c>
      <c r="E181" s="117">
        <v>0</v>
      </c>
      <c r="F181" s="66">
        <v>0</v>
      </c>
      <c r="G181" s="121">
        <v>0</v>
      </c>
      <c r="H181" s="66">
        <v>0</v>
      </c>
      <c r="I181" s="117">
        <v>0</v>
      </c>
      <c r="J181" s="66">
        <v>0</v>
      </c>
      <c r="K181" s="66">
        <v>0</v>
      </c>
      <c r="L181" s="66">
        <v>0</v>
      </c>
      <c r="M181" s="66">
        <v>0</v>
      </c>
      <c r="N181" s="66">
        <v>0</v>
      </c>
      <c r="O181" s="66">
        <v>0</v>
      </c>
      <c r="P181" s="66">
        <v>0</v>
      </c>
      <c r="Q181" s="127">
        <f t="shared" si="4"/>
        <v>0</v>
      </c>
      <c r="R181" s="128"/>
      <c r="S181" s="128">
        <f>4000/V131</f>
        <v>530.89123365850423</v>
      </c>
      <c r="T181" s="176">
        <v>0</v>
      </c>
    </row>
    <row r="182" spans="1:65" s="31" customFormat="1" x14ac:dyDescent="0.3">
      <c r="A182" s="97">
        <v>42229</v>
      </c>
      <c r="B182" s="48" t="s">
        <v>148</v>
      </c>
      <c r="C182" s="127">
        <v>0</v>
      </c>
      <c r="D182" s="66">
        <v>0</v>
      </c>
      <c r="E182" s="117">
        <v>0</v>
      </c>
      <c r="F182" s="66">
        <v>0</v>
      </c>
      <c r="G182" s="122">
        <v>0</v>
      </c>
      <c r="H182" s="66">
        <v>0</v>
      </c>
      <c r="I182" s="117">
        <v>0</v>
      </c>
      <c r="J182" s="66">
        <v>0</v>
      </c>
      <c r="K182" s="66">
        <v>0</v>
      </c>
      <c r="L182" s="66">
        <v>0</v>
      </c>
      <c r="M182" s="66">
        <v>0</v>
      </c>
      <c r="N182" s="66">
        <v>0</v>
      </c>
      <c r="O182" s="66">
        <v>0</v>
      </c>
      <c r="P182" s="66">
        <v>0</v>
      </c>
      <c r="Q182" s="127">
        <f t="shared" ref="Q182:Q199" si="5">SUM(D182:P182)</f>
        <v>0</v>
      </c>
      <c r="R182" s="128"/>
      <c r="S182" s="128">
        <f>5000/V131</f>
        <v>663.61404207313024</v>
      </c>
      <c r="T182" s="176">
        <f>7978.73/V131</f>
        <v>1058.9594531820292</v>
      </c>
    </row>
    <row r="183" spans="1:65" s="36" customFormat="1" x14ac:dyDescent="0.3">
      <c r="A183" s="95">
        <v>4223</v>
      </c>
      <c r="B183" s="47" t="s">
        <v>56</v>
      </c>
      <c r="C183" s="126">
        <v>0</v>
      </c>
      <c r="D183" s="64">
        <v>0</v>
      </c>
      <c r="E183" s="116">
        <v>0</v>
      </c>
      <c r="F183" s="64">
        <v>0</v>
      </c>
      <c r="G183" s="120">
        <f>G184+G185+G186</f>
        <v>0</v>
      </c>
      <c r="H183" s="64">
        <v>0</v>
      </c>
      <c r="I183" s="116">
        <v>0</v>
      </c>
      <c r="J183" s="64">
        <v>0</v>
      </c>
      <c r="K183" s="64">
        <v>0</v>
      </c>
      <c r="L183" s="64">
        <v>0</v>
      </c>
      <c r="M183" s="64">
        <v>0</v>
      </c>
      <c r="N183" s="64">
        <v>0</v>
      </c>
      <c r="O183" s="64">
        <v>0</v>
      </c>
      <c r="P183" s="64">
        <v>0</v>
      </c>
      <c r="Q183" s="126">
        <f t="shared" si="5"/>
        <v>0</v>
      </c>
      <c r="R183" s="192"/>
      <c r="S183" s="192">
        <f>15000/V131</f>
        <v>1990.8421262193906</v>
      </c>
      <c r="T183" s="198">
        <v>0</v>
      </c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  <c r="AH183" s="31"/>
      <c r="AI183" s="31"/>
      <c r="AJ183" s="31"/>
      <c r="AK183" s="31"/>
      <c r="AL183" s="31"/>
      <c r="AM183" s="31"/>
      <c r="AN183" s="31"/>
      <c r="AO183" s="31"/>
      <c r="AP183" s="31"/>
      <c r="AQ183" s="31"/>
      <c r="AR183" s="31"/>
      <c r="AS183" s="31"/>
      <c r="AT183" s="31"/>
      <c r="AU183" s="31"/>
      <c r="AV183" s="31"/>
      <c r="AW183" s="31"/>
      <c r="AX183" s="31"/>
      <c r="AY183" s="31"/>
      <c r="AZ183" s="31"/>
      <c r="BA183" s="31"/>
      <c r="BB183" s="31"/>
      <c r="BC183" s="31"/>
      <c r="BD183" s="31"/>
      <c r="BE183" s="31"/>
      <c r="BF183" s="31"/>
      <c r="BG183" s="31"/>
      <c r="BH183" s="31"/>
      <c r="BI183" s="31"/>
      <c r="BJ183" s="31"/>
      <c r="BK183" s="31"/>
      <c r="BL183" s="31"/>
      <c r="BM183" s="31"/>
    </row>
    <row r="184" spans="1:65" s="31" customFormat="1" x14ac:dyDescent="0.3">
      <c r="A184" s="97">
        <v>42231</v>
      </c>
      <c r="B184" s="48" t="s">
        <v>142</v>
      </c>
      <c r="C184" s="127">
        <v>0</v>
      </c>
      <c r="D184" s="66">
        <v>0</v>
      </c>
      <c r="E184" s="117">
        <v>0</v>
      </c>
      <c r="F184" s="66">
        <v>0</v>
      </c>
      <c r="G184" s="121">
        <v>0</v>
      </c>
      <c r="H184" s="66">
        <v>0</v>
      </c>
      <c r="I184" s="117">
        <v>0</v>
      </c>
      <c r="J184" s="66">
        <v>0</v>
      </c>
      <c r="K184" s="66">
        <v>0</v>
      </c>
      <c r="L184" s="66">
        <v>0</v>
      </c>
      <c r="M184" s="66">
        <v>0</v>
      </c>
      <c r="N184" s="66">
        <v>0</v>
      </c>
      <c r="O184" s="66">
        <v>0</v>
      </c>
      <c r="P184" s="66">
        <v>0</v>
      </c>
      <c r="Q184" s="127">
        <f t="shared" si="5"/>
        <v>0</v>
      </c>
      <c r="R184" s="128"/>
      <c r="S184" s="128">
        <f>5000/V131</f>
        <v>663.61404207313024</v>
      </c>
      <c r="T184" s="176">
        <v>0</v>
      </c>
    </row>
    <row r="185" spans="1:65" s="31" customFormat="1" x14ac:dyDescent="0.3">
      <c r="A185" s="97">
        <v>42232</v>
      </c>
      <c r="B185" s="48" t="s">
        <v>149</v>
      </c>
      <c r="C185" s="127">
        <v>0</v>
      </c>
      <c r="D185" s="66">
        <v>0</v>
      </c>
      <c r="E185" s="117">
        <v>0</v>
      </c>
      <c r="F185" s="66">
        <v>0</v>
      </c>
      <c r="G185" s="121">
        <v>0</v>
      </c>
      <c r="H185" s="66">
        <v>0</v>
      </c>
      <c r="I185" s="117">
        <v>0</v>
      </c>
      <c r="J185" s="66">
        <v>0</v>
      </c>
      <c r="K185" s="66">
        <v>0</v>
      </c>
      <c r="L185" s="66">
        <v>0</v>
      </c>
      <c r="M185" s="66">
        <v>0</v>
      </c>
      <c r="N185" s="66">
        <v>0</v>
      </c>
      <c r="O185" s="66">
        <v>0</v>
      </c>
      <c r="P185" s="66">
        <v>0</v>
      </c>
      <c r="Q185" s="127">
        <f t="shared" si="5"/>
        <v>0</v>
      </c>
      <c r="R185" s="128"/>
      <c r="S185" s="128">
        <f>5000/V131</f>
        <v>663.61404207313024</v>
      </c>
      <c r="T185" s="176">
        <v>0</v>
      </c>
    </row>
    <row r="186" spans="1:65" x14ac:dyDescent="0.3">
      <c r="A186" s="103">
        <v>42239</v>
      </c>
      <c r="B186" s="104" t="s">
        <v>125</v>
      </c>
      <c r="C186" s="127">
        <v>0</v>
      </c>
      <c r="D186" s="101">
        <v>0</v>
      </c>
      <c r="E186" s="101">
        <v>0</v>
      </c>
      <c r="F186" s="101">
        <v>0</v>
      </c>
      <c r="G186" s="121">
        <v>0</v>
      </c>
      <c r="H186" s="101">
        <v>0</v>
      </c>
      <c r="I186" s="101">
        <v>0</v>
      </c>
      <c r="J186" s="101">
        <v>0</v>
      </c>
      <c r="K186" s="101">
        <v>0</v>
      </c>
      <c r="L186" s="101">
        <v>0</v>
      </c>
      <c r="M186" s="101">
        <v>0</v>
      </c>
      <c r="N186" s="101">
        <v>0</v>
      </c>
      <c r="O186" s="101">
        <v>0</v>
      </c>
      <c r="P186" s="101">
        <v>0</v>
      </c>
      <c r="Q186" s="127">
        <f t="shared" si="5"/>
        <v>0</v>
      </c>
      <c r="R186" s="128"/>
      <c r="S186" s="128">
        <f>5000/V131</f>
        <v>663.61404207313024</v>
      </c>
      <c r="T186" s="176">
        <v>0</v>
      </c>
    </row>
    <row r="187" spans="1:65" s="36" customFormat="1" x14ac:dyDescent="0.3">
      <c r="A187" s="95">
        <v>4226</v>
      </c>
      <c r="B187" s="47" t="s">
        <v>50</v>
      </c>
      <c r="C187" s="126">
        <v>2000</v>
      </c>
      <c r="D187" s="64">
        <v>0</v>
      </c>
      <c r="E187" s="116">
        <v>0</v>
      </c>
      <c r="F187" s="64">
        <v>0</v>
      </c>
      <c r="G187" s="120">
        <f>G188</f>
        <v>0</v>
      </c>
      <c r="H187" s="64">
        <v>0</v>
      </c>
      <c r="I187" s="116">
        <v>0</v>
      </c>
      <c r="J187" s="64">
        <v>0</v>
      </c>
      <c r="K187" s="64">
        <v>0</v>
      </c>
      <c r="L187" s="64">
        <v>0</v>
      </c>
      <c r="M187" s="64">
        <f>M188</f>
        <v>2000</v>
      </c>
      <c r="N187" s="64">
        <v>0</v>
      </c>
      <c r="O187" s="64">
        <v>0</v>
      </c>
      <c r="P187" s="64">
        <v>0</v>
      </c>
      <c r="Q187" s="126">
        <f t="shared" si="5"/>
        <v>2000</v>
      </c>
      <c r="R187" s="192"/>
      <c r="S187" s="192">
        <f>75000/V131</f>
        <v>9954.2106310969539</v>
      </c>
      <c r="T187" s="198">
        <f>77612.25/V131</f>
        <v>10300.91578737806</v>
      </c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F187" s="31"/>
      <c r="AG187" s="31"/>
      <c r="AH187" s="31"/>
      <c r="AI187" s="31"/>
      <c r="AJ187" s="31"/>
      <c r="AK187" s="31"/>
      <c r="AL187" s="31"/>
      <c r="AM187" s="31"/>
      <c r="AN187" s="31"/>
      <c r="AO187" s="31"/>
      <c r="AP187" s="31"/>
      <c r="AQ187" s="31"/>
      <c r="AR187" s="31"/>
      <c r="AS187" s="31"/>
      <c r="AT187" s="31"/>
      <c r="AU187" s="31"/>
      <c r="AV187" s="31"/>
      <c r="AW187" s="31"/>
      <c r="AX187" s="31"/>
      <c r="AY187" s="31"/>
      <c r="AZ187" s="31"/>
      <c r="BA187" s="31"/>
      <c r="BB187" s="31"/>
      <c r="BC187" s="31"/>
      <c r="BD187" s="31"/>
      <c r="BE187" s="31"/>
      <c r="BF187" s="31"/>
      <c r="BG187" s="31"/>
      <c r="BH187" s="31"/>
      <c r="BI187" s="31"/>
      <c r="BJ187" s="31"/>
      <c r="BK187" s="31"/>
      <c r="BL187" s="31"/>
      <c r="BM187" s="31"/>
    </row>
    <row r="188" spans="1:65" x14ac:dyDescent="0.3">
      <c r="A188" s="103">
        <v>42262</v>
      </c>
      <c r="B188" s="104" t="s">
        <v>126</v>
      </c>
      <c r="C188" s="127">
        <v>2000</v>
      </c>
      <c r="D188" s="101">
        <v>0</v>
      </c>
      <c r="E188" s="101">
        <v>0</v>
      </c>
      <c r="F188" s="101">
        <v>0</v>
      </c>
      <c r="G188" s="121">
        <v>0</v>
      </c>
      <c r="H188" s="101">
        <v>0</v>
      </c>
      <c r="I188" s="101">
        <v>0</v>
      </c>
      <c r="J188" s="101">
        <v>0</v>
      </c>
      <c r="K188" s="101">
        <v>0</v>
      </c>
      <c r="L188" s="101">
        <v>0</v>
      </c>
      <c r="M188" s="101">
        <v>2000</v>
      </c>
      <c r="N188" s="101">
        <v>0</v>
      </c>
      <c r="O188" s="101">
        <v>0</v>
      </c>
      <c r="P188" s="101">
        <v>0</v>
      </c>
      <c r="Q188" s="127">
        <f t="shared" si="5"/>
        <v>2000</v>
      </c>
      <c r="R188" s="128"/>
      <c r="S188" s="128">
        <f>75000/V131</f>
        <v>9954.2106310969539</v>
      </c>
      <c r="T188" s="176">
        <f>77612.25/V131</f>
        <v>10300.91578737806</v>
      </c>
    </row>
    <row r="189" spans="1:65" s="36" customFormat="1" x14ac:dyDescent="0.3">
      <c r="A189" s="95">
        <v>4227</v>
      </c>
      <c r="B189" s="47" t="s">
        <v>51</v>
      </c>
      <c r="C189" s="126">
        <v>0</v>
      </c>
      <c r="D189" s="64">
        <v>0</v>
      </c>
      <c r="E189" s="116">
        <v>0</v>
      </c>
      <c r="F189" s="64">
        <v>0</v>
      </c>
      <c r="G189" s="120">
        <f>G190</f>
        <v>0</v>
      </c>
      <c r="H189" s="64">
        <v>0</v>
      </c>
      <c r="I189" s="116">
        <v>0</v>
      </c>
      <c r="J189" s="64">
        <v>0</v>
      </c>
      <c r="K189" s="64">
        <v>0</v>
      </c>
      <c r="L189" s="64">
        <v>0</v>
      </c>
      <c r="M189" s="64">
        <v>0</v>
      </c>
      <c r="N189" s="64">
        <v>0</v>
      </c>
      <c r="O189" s="64">
        <v>0</v>
      </c>
      <c r="P189" s="64">
        <v>0</v>
      </c>
      <c r="Q189" s="126">
        <f t="shared" si="5"/>
        <v>0</v>
      </c>
      <c r="R189" s="192"/>
      <c r="S189" s="192">
        <f>8000/V131</f>
        <v>1061.7824673170085</v>
      </c>
      <c r="T189" s="198">
        <v>0</v>
      </c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F189" s="31"/>
      <c r="AG189" s="31"/>
      <c r="AH189" s="31"/>
      <c r="AI189" s="31"/>
      <c r="AJ189" s="31"/>
      <c r="AK189" s="31"/>
      <c r="AL189" s="31"/>
      <c r="AM189" s="31"/>
      <c r="AN189" s="31"/>
      <c r="AO189" s="31"/>
      <c r="AP189" s="31"/>
      <c r="AQ189" s="31"/>
      <c r="AR189" s="31"/>
      <c r="AS189" s="31"/>
      <c r="AT189" s="31"/>
      <c r="AU189" s="31"/>
      <c r="AV189" s="31"/>
      <c r="AW189" s="31"/>
      <c r="AX189" s="31"/>
      <c r="AY189" s="31"/>
      <c r="AZ189" s="31"/>
      <c r="BA189" s="31"/>
      <c r="BB189" s="31"/>
      <c r="BC189" s="31"/>
      <c r="BD189" s="31"/>
      <c r="BE189" s="31"/>
      <c r="BF189" s="31"/>
      <c r="BG189" s="31"/>
      <c r="BH189" s="31"/>
      <c r="BI189" s="31"/>
      <c r="BJ189" s="31"/>
      <c r="BK189" s="31"/>
      <c r="BL189" s="31"/>
      <c r="BM189" s="31"/>
    </row>
    <row r="190" spans="1:65" s="36" customFormat="1" ht="19.5" thickBot="1" x14ac:dyDescent="0.35">
      <c r="A190" s="98">
        <v>42273</v>
      </c>
      <c r="B190" s="251" t="s">
        <v>159</v>
      </c>
      <c r="C190" s="125">
        <v>0</v>
      </c>
      <c r="D190" s="65">
        <v>0</v>
      </c>
      <c r="E190" s="115">
        <v>0</v>
      </c>
      <c r="F190" s="65">
        <v>0</v>
      </c>
      <c r="G190" s="186">
        <v>0</v>
      </c>
      <c r="H190" s="65">
        <v>0</v>
      </c>
      <c r="I190" s="115">
        <v>0</v>
      </c>
      <c r="J190" s="65">
        <v>0</v>
      </c>
      <c r="K190" s="65">
        <v>0</v>
      </c>
      <c r="L190" s="65">
        <v>0</v>
      </c>
      <c r="M190" s="65">
        <v>0</v>
      </c>
      <c r="N190" s="65">
        <v>0</v>
      </c>
      <c r="O190" s="65">
        <v>0</v>
      </c>
      <c r="P190" s="65">
        <v>0</v>
      </c>
      <c r="Q190" s="125">
        <f t="shared" si="5"/>
        <v>0</v>
      </c>
      <c r="R190" s="190"/>
      <c r="S190" s="190">
        <f>8000/V131</f>
        <v>1061.7824673170085</v>
      </c>
      <c r="T190" s="217">
        <v>0</v>
      </c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F190" s="31"/>
      <c r="AG190" s="31"/>
      <c r="AH190" s="31"/>
      <c r="AI190" s="31"/>
      <c r="AJ190" s="31"/>
      <c r="AK190" s="31"/>
      <c r="AL190" s="31"/>
      <c r="AM190" s="31"/>
      <c r="AN190" s="31"/>
      <c r="AO190" s="31"/>
      <c r="AP190" s="31"/>
      <c r="AQ190" s="31"/>
      <c r="AR190" s="31"/>
      <c r="AS190" s="31"/>
      <c r="AT190" s="31"/>
      <c r="AU190" s="31"/>
      <c r="AV190" s="31"/>
      <c r="AW190" s="31"/>
      <c r="AX190" s="31"/>
      <c r="AY190" s="31"/>
      <c r="AZ190" s="31"/>
      <c r="BA190" s="31"/>
      <c r="BB190" s="31"/>
      <c r="BC190" s="31"/>
      <c r="BD190" s="31"/>
      <c r="BE190" s="31"/>
      <c r="BF190" s="31"/>
      <c r="BG190" s="31"/>
      <c r="BH190" s="31"/>
      <c r="BI190" s="31"/>
      <c r="BJ190" s="31"/>
      <c r="BK190" s="31"/>
      <c r="BL190" s="31"/>
      <c r="BM190" s="31"/>
    </row>
    <row r="191" spans="1:65" s="32" customFormat="1" ht="19.5" thickBot="1" x14ac:dyDescent="0.35">
      <c r="A191" s="69">
        <v>424</v>
      </c>
      <c r="B191" s="250" t="s">
        <v>23</v>
      </c>
      <c r="C191" s="182">
        <v>700</v>
      </c>
      <c r="D191" s="71">
        <v>0</v>
      </c>
      <c r="E191" s="119">
        <v>0</v>
      </c>
      <c r="F191" s="71">
        <v>0</v>
      </c>
      <c r="G191" s="183">
        <f>G192</f>
        <v>0</v>
      </c>
      <c r="H191" s="71">
        <v>0</v>
      </c>
      <c r="I191" s="119">
        <f>I192</f>
        <v>700</v>
      </c>
      <c r="J191" s="71">
        <v>0</v>
      </c>
      <c r="K191" s="71">
        <v>0</v>
      </c>
      <c r="L191" s="71">
        <v>0</v>
      </c>
      <c r="M191" s="71">
        <v>0</v>
      </c>
      <c r="N191" s="71">
        <v>0</v>
      </c>
      <c r="O191" s="71">
        <v>0</v>
      </c>
      <c r="P191" s="71">
        <v>0</v>
      </c>
      <c r="Q191" s="182">
        <f t="shared" si="5"/>
        <v>700</v>
      </c>
      <c r="R191" s="182"/>
      <c r="S191" s="182">
        <f>18000/V131</f>
        <v>2389.0105514632687</v>
      </c>
      <c r="T191" s="184">
        <f>698.99/V131</f>
        <v>92.771915853739458</v>
      </c>
      <c r="U191" s="33"/>
      <c r="V191" s="33"/>
      <c r="W191" s="33"/>
      <c r="X191" s="33"/>
      <c r="Y191" s="33"/>
      <c r="Z191" s="33"/>
      <c r="AA191" s="33"/>
      <c r="AB191" s="33"/>
      <c r="AC191" s="33"/>
      <c r="AD191" s="33"/>
      <c r="AE191" s="33"/>
      <c r="AF191" s="33"/>
      <c r="AG191" s="33"/>
      <c r="AH191" s="33"/>
      <c r="AI191" s="33"/>
      <c r="AJ191" s="33"/>
      <c r="AK191" s="33"/>
      <c r="AL191" s="33"/>
      <c r="AM191" s="33"/>
      <c r="AN191" s="33"/>
      <c r="AO191" s="33"/>
      <c r="AP191" s="33"/>
      <c r="AQ191" s="33"/>
      <c r="AR191" s="33"/>
      <c r="AS191" s="33"/>
      <c r="AT191" s="33"/>
      <c r="AU191" s="33"/>
      <c r="AV191" s="33"/>
      <c r="AW191" s="33"/>
      <c r="AX191" s="33"/>
      <c r="AY191" s="33"/>
      <c r="AZ191" s="33"/>
      <c r="BA191" s="33"/>
      <c r="BB191" s="33"/>
      <c r="BC191" s="33"/>
      <c r="BD191" s="33"/>
      <c r="BE191" s="33"/>
      <c r="BF191" s="33"/>
      <c r="BG191" s="33"/>
      <c r="BH191" s="33"/>
      <c r="BI191" s="33"/>
      <c r="BJ191" s="33"/>
      <c r="BK191" s="33"/>
      <c r="BL191" s="33"/>
      <c r="BM191" s="33"/>
    </row>
    <row r="192" spans="1:65" s="44" customFormat="1" x14ac:dyDescent="0.3">
      <c r="A192" s="222">
        <v>4241</v>
      </c>
      <c r="B192" s="249" t="s">
        <v>52</v>
      </c>
      <c r="C192" s="224">
        <v>700</v>
      </c>
      <c r="D192" s="253">
        <v>0</v>
      </c>
      <c r="E192" s="252">
        <v>0</v>
      </c>
      <c r="F192" s="253">
        <v>0</v>
      </c>
      <c r="G192" s="228">
        <f>G193</f>
        <v>0</v>
      </c>
      <c r="H192" s="253">
        <v>0</v>
      </c>
      <c r="I192" s="252">
        <f>I193</f>
        <v>700</v>
      </c>
      <c r="J192" s="253">
        <v>0</v>
      </c>
      <c r="K192" s="253">
        <v>0</v>
      </c>
      <c r="L192" s="253">
        <v>0</v>
      </c>
      <c r="M192" s="253">
        <v>0</v>
      </c>
      <c r="N192" s="253">
        <v>0</v>
      </c>
      <c r="O192" s="253">
        <v>0</v>
      </c>
      <c r="P192" s="253">
        <v>0</v>
      </c>
      <c r="Q192" s="224">
        <f t="shared" si="5"/>
        <v>700</v>
      </c>
      <c r="R192" s="191"/>
      <c r="S192" s="191">
        <f>18000/V131</f>
        <v>2389.0105514632687</v>
      </c>
      <c r="T192" s="229">
        <f>698.99/V131</f>
        <v>92.771915853739458</v>
      </c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F192" s="33"/>
      <c r="AG192" s="33"/>
      <c r="AH192" s="33"/>
      <c r="AI192" s="33"/>
      <c r="AJ192" s="33"/>
      <c r="AK192" s="33"/>
      <c r="AL192" s="33"/>
      <c r="AM192" s="33"/>
      <c r="AN192" s="33"/>
      <c r="AO192" s="33"/>
      <c r="AP192" s="33"/>
      <c r="AQ192" s="33"/>
      <c r="AR192" s="33"/>
      <c r="AS192" s="33"/>
      <c r="AT192" s="33"/>
      <c r="AU192" s="33"/>
      <c r="AV192" s="33"/>
      <c r="AW192" s="33"/>
      <c r="AX192" s="33"/>
      <c r="AY192" s="33"/>
      <c r="AZ192" s="33"/>
      <c r="BA192" s="33"/>
      <c r="BB192" s="33"/>
      <c r="BC192" s="33"/>
      <c r="BD192" s="33"/>
      <c r="BE192" s="33"/>
      <c r="BF192" s="33"/>
      <c r="BG192" s="33"/>
      <c r="BH192" s="33"/>
      <c r="BI192" s="33"/>
      <c r="BJ192" s="33"/>
      <c r="BK192" s="33"/>
      <c r="BL192" s="33"/>
      <c r="BM192" s="33"/>
    </row>
    <row r="193" spans="1:65" s="33" customFormat="1" x14ac:dyDescent="0.3">
      <c r="A193" s="97">
        <v>42411</v>
      </c>
      <c r="B193" s="48" t="s">
        <v>52</v>
      </c>
      <c r="C193" s="128">
        <v>700</v>
      </c>
      <c r="D193" s="66">
        <v>0</v>
      </c>
      <c r="E193" s="117">
        <v>0</v>
      </c>
      <c r="F193" s="66">
        <v>0</v>
      </c>
      <c r="G193" s="121">
        <v>0</v>
      </c>
      <c r="H193" s="66">
        <v>0</v>
      </c>
      <c r="I193" s="117">
        <v>700</v>
      </c>
      <c r="J193" s="66">
        <v>0</v>
      </c>
      <c r="K193" s="66">
        <v>0</v>
      </c>
      <c r="L193" s="66">
        <v>0</v>
      </c>
      <c r="M193" s="66">
        <v>0</v>
      </c>
      <c r="N193" s="66">
        <v>0</v>
      </c>
      <c r="O193" s="66">
        <v>0</v>
      </c>
      <c r="P193" s="66">
        <v>0</v>
      </c>
      <c r="Q193" s="128">
        <f t="shared" si="5"/>
        <v>700</v>
      </c>
      <c r="R193" s="128"/>
      <c r="S193" s="128">
        <f>18000/V131</f>
        <v>2389.0105514632687</v>
      </c>
      <c r="T193" s="176">
        <f>698.99/V131</f>
        <v>92.771915853739458</v>
      </c>
    </row>
    <row r="194" spans="1:65" s="36" customFormat="1" x14ac:dyDescent="0.3">
      <c r="A194" s="95">
        <v>4242</v>
      </c>
      <c r="B194" s="47" t="s">
        <v>68</v>
      </c>
      <c r="C194" s="126">
        <v>0</v>
      </c>
      <c r="D194" s="64">
        <v>0</v>
      </c>
      <c r="E194" s="116">
        <v>0</v>
      </c>
      <c r="F194" s="64">
        <v>0</v>
      </c>
      <c r="G194" s="120">
        <v>0</v>
      </c>
      <c r="H194" s="64">
        <v>0</v>
      </c>
      <c r="I194" s="116">
        <v>0</v>
      </c>
      <c r="J194" s="64">
        <v>0</v>
      </c>
      <c r="K194" s="64">
        <v>0</v>
      </c>
      <c r="L194" s="64">
        <v>0</v>
      </c>
      <c r="M194" s="64">
        <v>0</v>
      </c>
      <c r="N194" s="64">
        <v>0</v>
      </c>
      <c r="O194" s="64">
        <v>0</v>
      </c>
      <c r="P194" s="64">
        <v>0</v>
      </c>
      <c r="Q194" s="126">
        <f t="shared" si="5"/>
        <v>0</v>
      </c>
      <c r="R194" s="192"/>
      <c r="S194" s="192">
        <v>0</v>
      </c>
      <c r="T194" s="198">
        <v>0</v>
      </c>
      <c r="U194" s="31"/>
      <c r="V194" s="31"/>
      <c r="W194" s="31"/>
      <c r="X194" s="31"/>
      <c r="Y194" s="31"/>
      <c r="Z194" s="31"/>
      <c r="AA194" s="31"/>
      <c r="AB194" s="31"/>
      <c r="AC194" s="31"/>
      <c r="AD194" s="31"/>
      <c r="AE194" s="31"/>
      <c r="AF194" s="31"/>
      <c r="AG194" s="31"/>
      <c r="AH194" s="31"/>
      <c r="AI194" s="31"/>
      <c r="AJ194" s="31"/>
      <c r="AK194" s="31"/>
      <c r="AL194" s="31"/>
      <c r="AM194" s="31"/>
      <c r="AN194" s="31"/>
      <c r="AO194" s="31"/>
      <c r="AP194" s="31"/>
      <c r="AQ194" s="31"/>
      <c r="AR194" s="31"/>
      <c r="AS194" s="31"/>
      <c r="AT194" s="31"/>
      <c r="AU194" s="31"/>
      <c r="AV194" s="31"/>
      <c r="AW194" s="31"/>
      <c r="AX194" s="31"/>
      <c r="AY194" s="31"/>
      <c r="AZ194" s="31"/>
      <c r="BA194" s="31"/>
      <c r="BB194" s="31"/>
      <c r="BC194" s="31"/>
      <c r="BD194" s="31"/>
      <c r="BE194" s="31"/>
      <c r="BF194" s="31"/>
      <c r="BG194" s="31"/>
      <c r="BH194" s="31"/>
      <c r="BI194" s="31"/>
      <c r="BJ194" s="31"/>
      <c r="BK194" s="31"/>
      <c r="BL194" s="31"/>
      <c r="BM194" s="31"/>
    </row>
    <row r="195" spans="1:65" ht="19.5" thickBot="1" x14ac:dyDescent="0.35">
      <c r="A195" s="94">
        <v>42421</v>
      </c>
      <c r="B195" s="254" t="s">
        <v>127</v>
      </c>
      <c r="C195" s="125">
        <v>0</v>
      </c>
      <c r="D195" s="68">
        <v>0</v>
      </c>
      <c r="E195" s="68">
        <v>0</v>
      </c>
      <c r="F195" s="68">
        <v>0</v>
      </c>
      <c r="G195" s="123">
        <v>0</v>
      </c>
      <c r="H195" s="68">
        <v>0</v>
      </c>
      <c r="I195" s="68">
        <v>0</v>
      </c>
      <c r="J195" s="68">
        <v>0</v>
      </c>
      <c r="K195" s="68">
        <v>0</v>
      </c>
      <c r="L195" s="68">
        <v>0</v>
      </c>
      <c r="M195" s="68">
        <v>0</v>
      </c>
      <c r="N195" s="68">
        <v>0</v>
      </c>
      <c r="O195" s="68">
        <v>0</v>
      </c>
      <c r="P195" s="68">
        <v>0</v>
      </c>
      <c r="Q195" s="125">
        <f t="shared" si="5"/>
        <v>0</v>
      </c>
      <c r="R195" s="190"/>
      <c r="S195" s="190">
        <v>0</v>
      </c>
      <c r="T195" s="217">
        <v>0</v>
      </c>
    </row>
    <row r="196" spans="1:65" s="32" customFormat="1" ht="19.5" thickBot="1" x14ac:dyDescent="0.35">
      <c r="A196" s="69">
        <v>426</v>
      </c>
      <c r="B196" s="250" t="s">
        <v>28</v>
      </c>
      <c r="C196" s="182">
        <v>0</v>
      </c>
      <c r="D196" s="71">
        <v>0</v>
      </c>
      <c r="E196" s="119">
        <v>0</v>
      </c>
      <c r="F196" s="71">
        <v>0</v>
      </c>
      <c r="G196" s="183">
        <v>0</v>
      </c>
      <c r="H196" s="71">
        <v>0</v>
      </c>
      <c r="I196" s="119">
        <v>0</v>
      </c>
      <c r="J196" s="71">
        <v>0</v>
      </c>
      <c r="K196" s="71">
        <v>0</v>
      </c>
      <c r="L196" s="71">
        <v>0</v>
      </c>
      <c r="M196" s="71">
        <v>0</v>
      </c>
      <c r="N196" s="71">
        <v>0</v>
      </c>
      <c r="O196" s="71">
        <v>0</v>
      </c>
      <c r="P196" s="71">
        <v>0</v>
      </c>
      <c r="Q196" s="182">
        <f t="shared" si="5"/>
        <v>0</v>
      </c>
      <c r="R196" s="182"/>
      <c r="S196" s="182">
        <v>0</v>
      </c>
      <c r="T196" s="184">
        <v>0</v>
      </c>
      <c r="U196" s="33"/>
      <c r="V196" s="33"/>
      <c r="W196" s="33"/>
      <c r="X196" s="33"/>
      <c r="Y196" s="33"/>
      <c r="Z196" s="33"/>
      <c r="AA196" s="33"/>
      <c r="AB196" s="33"/>
      <c r="AC196" s="33"/>
      <c r="AD196" s="33"/>
      <c r="AE196" s="33"/>
      <c r="AF196" s="33"/>
      <c r="AG196" s="33"/>
      <c r="AH196" s="33"/>
      <c r="AI196" s="33"/>
      <c r="AJ196" s="33"/>
      <c r="AK196" s="33"/>
      <c r="AL196" s="33"/>
      <c r="AM196" s="33"/>
      <c r="AN196" s="33"/>
      <c r="AO196" s="33"/>
      <c r="AP196" s="33"/>
      <c r="AQ196" s="33"/>
      <c r="AR196" s="33"/>
      <c r="AS196" s="33"/>
      <c r="AT196" s="33"/>
      <c r="AU196" s="33"/>
      <c r="AV196" s="33"/>
      <c r="AW196" s="33"/>
      <c r="AX196" s="33"/>
      <c r="AY196" s="33"/>
      <c r="AZ196" s="33"/>
      <c r="BA196" s="33"/>
      <c r="BB196" s="33"/>
      <c r="BC196" s="33"/>
      <c r="BD196" s="33"/>
      <c r="BE196" s="33"/>
      <c r="BF196" s="33"/>
      <c r="BG196" s="33"/>
      <c r="BH196" s="33"/>
      <c r="BI196" s="33"/>
      <c r="BJ196" s="33"/>
      <c r="BK196" s="33"/>
      <c r="BL196" s="33"/>
      <c r="BM196" s="33"/>
    </row>
    <row r="197" spans="1:65" s="36" customFormat="1" x14ac:dyDescent="0.3">
      <c r="A197" s="222">
        <v>4262</v>
      </c>
      <c r="B197" s="249" t="s">
        <v>28</v>
      </c>
      <c r="C197" s="224">
        <v>0</v>
      </c>
      <c r="D197" s="234">
        <v>0</v>
      </c>
      <c r="E197" s="233">
        <v>0</v>
      </c>
      <c r="F197" s="234">
        <v>0</v>
      </c>
      <c r="G197" s="228">
        <v>0</v>
      </c>
      <c r="H197" s="234">
        <v>0</v>
      </c>
      <c r="I197" s="233">
        <v>0</v>
      </c>
      <c r="J197" s="234">
        <v>0</v>
      </c>
      <c r="K197" s="234">
        <v>0</v>
      </c>
      <c r="L197" s="234">
        <v>0</v>
      </c>
      <c r="M197" s="234">
        <v>0</v>
      </c>
      <c r="N197" s="234">
        <v>0</v>
      </c>
      <c r="O197" s="234">
        <v>0</v>
      </c>
      <c r="P197" s="234">
        <v>0</v>
      </c>
      <c r="Q197" s="224">
        <f t="shared" si="5"/>
        <v>0</v>
      </c>
      <c r="R197" s="191"/>
      <c r="S197" s="191">
        <v>0</v>
      </c>
      <c r="T197" s="229">
        <v>0</v>
      </c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F197" s="31"/>
      <c r="AG197" s="31"/>
      <c r="AH197" s="31"/>
      <c r="AI197" s="31"/>
      <c r="AJ197" s="31"/>
      <c r="AK197" s="31"/>
      <c r="AL197" s="31"/>
      <c r="AM197" s="31"/>
      <c r="AN197" s="31"/>
      <c r="AO197" s="31"/>
      <c r="AP197" s="31"/>
      <c r="AQ197" s="31"/>
      <c r="AR197" s="31"/>
      <c r="AS197" s="31"/>
      <c r="AT197" s="31"/>
      <c r="AU197" s="31"/>
      <c r="AV197" s="31"/>
      <c r="AW197" s="31"/>
      <c r="AX197" s="31"/>
      <c r="AY197" s="31"/>
      <c r="AZ197" s="31"/>
      <c r="BA197" s="31"/>
      <c r="BB197" s="31"/>
      <c r="BC197" s="31"/>
      <c r="BD197" s="31"/>
      <c r="BE197" s="31"/>
      <c r="BF197" s="31"/>
      <c r="BG197" s="31"/>
      <c r="BH197" s="31"/>
      <c r="BI197" s="31"/>
      <c r="BJ197" s="31"/>
      <c r="BK197" s="31"/>
      <c r="BL197" s="31"/>
      <c r="BM197" s="31"/>
    </row>
    <row r="198" spans="1:65" ht="19.5" thickBot="1" x14ac:dyDescent="0.35">
      <c r="A198" s="94">
        <v>42621</v>
      </c>
      <c r="B198" s="254" t="s">
        <v>28</v>
      </c>
      <c r="C198" s="125">
        <v>0</v>
      </c>
      <c r="D198" s="68">
        <v>0</v>
      </c>
      <c r="E198" s="68">
        <v>0</v>
      </c>
      <c r="F198" s="68">
        <v>0</v>
      </c>
      <c r="G198" s="123">
        <v>0</v>
      </c>
      <c r="H198" s="68">
        <v>0</v>
      </c>
      <c r="I198" s="68">
        <v>0</v>
      </c>
      <c r="J198" s="68">
        <v>0</v>
      </c>
      <c r="K198" s="68">
        <v>0</v>
      </c>
      <c r="L198" s="68">
        <v>0</v>
      </c>
      <c r="M198" s="68">
        <v>0</v>
      </c>
      <c r="N198" s="68">
        <v>0</v>
      </c>
      <c r="O198" s="68">
        <v>0</v>
      </c>
      <c r="P198" s="68">
        <v>0</v>
      </c>
      <c r="Q198" s="125">
        <f t="shared" si="5"/>
        <v>0</v>
      </c>
      <c r="R198" s="190"/>
      <c r="S198" s="190">
        <v>0</v>
      </c>
      <c r="T198" s="217">
        <v>0</v>
      </c>
    </row>
    <row r="199" spans="1:65" ht="19.5" thickBot="1" x14ac:dyDescent="0.35">
      <c r="A199" s="255"/>
      <c r="B199" s="256" t="s">
        <v>25</v>
      </c>
      <c r="C199" s="182">
        <v>1793598</v>
      </c>
      <c r="D199" s="220">
        <f>D22</f>
        <v>90000</v>
      </c>
      <c r="E199" s="119">
        <f>E22</f>
        <v>142906</v>
      </c>
      <c r="F199" s="71">
        <f>F22</f>
        <v>2000</v>
      </c>
      <c r="G199" s="183">
        <f>G22+G169</f>
        <v>116720</v>
      </c>
      <c r="H199" s="71">
        <v>0</v>
      </c>
      <c r="I199" s="119">
        <f>I169+I22</f>
        <v>1428200</v>
      </c>
      <c r="J199" s="119">
        <f>J22</f>
        <v>858</v>
      </c>
      <c r="K199" s="71">
        <f>K22</f>
        <v>0</v>
      </c>
      <c r="L199" s="71">
        <f>L22</f>
        <v>2000</v>
      </c>
      <c r="M199" s="71">
        <f>M169</f>
        <v>2000</v>
      </c>
      <c r="N199" s="71">
        <v>0</v>
      </c>
      <c r="O199" s="71">
        <f>O22</f>
        <v>4861</v>
      </c>
      <c r="P199" s="71">
        <f>P22</f>
        <v>0</v>
      </c>
      <c r="Q199" s="182">
        <f t="shared" si="5"/>
        <v>1789545</v>
      </c>
      <c r="R199" s="182"/>
      <c r="S199" s="182">
        <f>10409730/V131</f>
        <v>1381608.6004379853</v>
      </c>
      <c r="T199" s="184">
        <f>4848068.29/V131</f>
        <v>643449.23883469368</v>
      </c>
    </row>
    <row r="200" spans="1:65" s="31" customFormat="1" ht="14.25" customHeight="1" thickBot="1" x14ac:dyDescent="0.35">
      <c r="A200" s="49"/>
      <c r="B200" s="50"/>
      <c r="C200" s="23"/>
      <c r="D200" s="51"/>
      <c r="E200" s="51"/>
      <c r="F200" s="51"/>
      <c r="G200" s="51"/>
      <c r="H200" s="51"/>
      <c r="I200" s="51"/>
      <c r="J200" s="51"/>
      <c r="K200" s="51"/>
      <c r="L200" s="51"/>
      <c r="M200" s="51"/>
      <c r="N200" s="51"/>
      <c r="O200" s="51"/>
      <c r="P200" s="51"/>
      <c r="Q200" s="51"/>
      <c r="R200" s="51"/>
    </row>
    <row r="201" spans="1:65" s="31" customFormat="1" ht="14.25" customHeight="1" x14ac:dyDescent="0.3">
      <c r="A201" s="368" t="s">
        <v>204</v>
      </c>
      <c r="B201" s="369"/>
      <c r="C201" s="369"/>
      <c r="D201" s="369"/>
      <c r="E201" s="369"/>
      <c r="F201" s="370"/>
      <c r="G201" s="377">
        <v>-12000</v>
      </c>
      <c r="H201" s="51"/>
      <c r="I201" s="51"/>
      <c r="J201" s="51"/>
      <c r="K201" s="51"/>
      <c r="L201" s="51"/>
      <c r="M201" s="51"/>
      <c r="N201" s="51"/>
      <c r="O201" s="51"/>
      <c r="P201" s="51"/>
      <c r="Q201" s="51"/>
      <c r="R201" s="51"/>
    </row>
    <row r="202" spans="1:65" s="31" customFormat="1" ht="14.25" customHeight="1" x14ac:dyDescent="0.3">
      <c r="A202" s="371"/>
      <c r="B202" s="372"/>
      <c r="C202" s="372"/>
      <c r="D202" s="372"/>
      <c r="E202" s="372"/>
      <c r="F202" s="373"/>
      <c r="G202" s="378"/>
      <c r="H202" s="51"/>
      <c r="I202" s="51"/>
      <c r="J202" s="51"/>
      <c r="K202" s="51"/>
      <c r="L202" s="51"/>
      <c r="M202" s="51"/>
      <c r="N202" s="51"/>
      <c r="O202" s="51"/>
      <c r="P202" s="51"/>
      <c r="Q202" s="51"/>
      <c r="R202" s="51"/>
    </row>
    <row r="203" spans="1:65" s="31" customFormat="1" ht="14.25" customHeight="1" thickBot="1" x14ac:dyDescent="0.35">
      <c r="A203" s="374"/>
      <c r="B203" s="375"/>
      <c r="C203" s="375"/>
      <c r="D203" s="375"/>
      <c r="E203" s="375"/>
      <c r="F203" s="376"/>
      <c r="G203" s="379"/>
      <c r="H203" s="51"/>
      <c r="I203" s="51"/>
      <c r="J203" s="51"/>
      <c r="K203" s="51"/>
      <c r="L203" s="51"/>
      <c r="M203" s="51"/>
      <c r="N203" s="51"/>
      <c r="O203" s="51"/>
      <c r="P203" s="51"/>
      <c r="Q203" s="51"/>
      <c r="R203" s="51"/>
    </row>
    <row r="204" spans="1:65" s="31" customFormat="1" ht="14.25" customHeight="1" x14ac:dyDescent="0.3">
      <c r="A204" s="49"/>
      <c r="B204" s="50"/>
      <c r="C204" s="23"/>
      <c r="D204" s="51"/>
      <c r="E204" s="51"/>
      <c r="F204" s="51"/>
      <c r="G204" s="51"/>
      <c r="H204" s="51"/>
      <c r="I204" s="51"/>
      <c r="J204" s="51"/>
      <c r="K204" s="51"/>
      <c r="L204" s="51"/>
      <c r="M204" s="51"/>
      <c r="N204" s="51"/>
      <c r="O204" s="51"/>
      <c r="P204" s="51"/>
      <c r="Q204" s="51"/>
      <c r="R204" s="51"/>
    </row>
    <row r="205" spans="1:65" s="31" customFormat="1" ht="14.25" customHeight="1" x14ac:dyDescent="0.35">
      <c r="A205" s="84"/>
      <c r="B205" s="85"/>
      <c r="C205" s="23"/>
      <c r="D205" s="51"/>
      <c r="E205" s="51"/>
      <c r="F205" s="51"/>
      <c r="G205" s="51"/>
      <c r="H205" s="51"/>
      <c r="I205" s="51"/>
      <c r="J205" s="51"/>
      <c r="K205" s="51"/>
      <c r="L205" s="51"/>
      <c r="M205" s="51"/>
      <c r="N205" s="51"/>
      <c r="O205" s="51"/>
      <c r="P205" s="51"/>
      <c r="Q205" s="51"/>
      <c r="R205" s="51"/>
    </row>
    <row r="206" spans="1:65" x14ac:dyDescent="0.3">
      <c r="A206" s="367" t="s">
        <v>259</v>
      </c>
      <c r="B206" s="367"/>
      <c r="C206" s="347"/>
      <c r="D206" s="348"/>
      <c r="E206" s="349"/>
      <c r="F206" s="364" t="s">
        <v>257</v>
      </c>
      <c r="G206" s="364"/>
      <c r="H206" s="7"/>
      <c r="I206" s="30"/>
      <c r="J206" s="30"/>
      <c r="K206" s="30"/>
      <c r="L206" s="30"/>
      <c r="M206" s="30"/>
    </row>
    <row r="207" spans="1:65" x14ac:dyDescent="0.3">
      <c r="A207" s="352"/>
      <c r="B207" s="353"/>
      <c r="C207" s="347"/>
      <c r="D207" s="52" t="s">
        <v>10</v>
      </c>
      <c r="E207" s="349"/>
      <c r="F207" s="345"/>
      <c r="G207" s="346"/>
      <c r="H207" s="7"/>
      <c r="I207" s="30"/>
      <c r="J207" s="30"/>
      <c r="K207" s="30"/>
      <c r="L207" s="30"/>
      <c r="M207" s="30"/>
      <c r="N207" s="53"/>
      <c r="O207" s="53"/>
      <c r="P207" s="53"/>
      <c r="Q207" s="53"/>
      <c r="R207" s="53"/>
    </row>
    <row r="208" spans="1:65" x14ac:dyDescent="0.3">
      <c r="A208" s="367" t="s">
        <v>156</v>
      </c>
      <c r="B208" s="367"/>
      <c r="C208" s="347"/>
      <c r="D208" s="348"/>
      <c r="E208" s="349"/>
      <c r="F208" s="364" t="s">
        <v>156</v>
      </c>
      <c r="G208" s="364"/>
      <c r="H208" s="7"/>
      <c r="I208" s="30"/>
      <c r="J208" s="30"/>
      <c r="K208" s="30"/>
      <c r="L208" s="30"/>
      <c r="M208" s="30"/>
      <c r="N208" s="53"/>
      <c r="O208" s="53"/>
      <c r="P208" s="53"/>
      <c r="Q208" s="53"/>
      <c r="R208" s="53"/>
    </row>
    <row r="209" spans="1:13" ht="25.5" customHeight="1" x14ac:dyDescent="0.3">
      <c r="A209" s="365" t="s">
        <v>157</v>
      </c>
      <c r="B209" s="365"/>
      <c r="C209" s="350" t="s">
        <v>261</v>
      </c>
      <c r="D209" s="348"/>
      <c r="E209" s="349"/>
      <c r="F209" s="365" t="s">
        <v>258</v>
      </c>
      <c r="G209" s="365"/>
      <c r="H209" s="7"/>
      <c r="I209" s="9"/>
      <c r="J209" s="9"/>
      <c r="K209" s="9"/>
      <c r="L209" s="9"/>
      <c r="M209" s="9"/>
    </row>
    <row r="210" spans="1:13" ht="25.5" customHeight="1" x14ac:dyDescent="0.3">
      <c r="A210" s="365"/>
      <c r="B210" s="365"/>
      <c r="C210" s="351"/>
      <c r="D210" s="348"/>
      <c r="E210" s="349"/>
      <c r="F210" s="365"/>
      <c r="G210" s="365"/>
      <c r="H210" s="7"/>
      <c r="I210" s="9"/>
      <c r="J210" s="9"/>
      <c r="K210" s="9"/>
      <c r="L210" s="9"/>
      <c r="M210" s="9"/>
    </row>
    <row r="211" spans="1:13" ht="26.25" x14ac:dyDescent="0.4">
      <c r="A211" s="263"/>
      <c r="B211" s="87"/>
      <c r="D211" s="54"/>
      <c r="E211" s="54"/>
      <c r="F211" s="54"/>
      <c r="G211" s="54"/>
      <c r="H211" s="54"/>
      <c r="I211" s="7"/>
      <c r="J211" s="7"/>
      <c r="K211" s="7"/>
      <c r="L211" s="7"/>
      <c r="M211" s="7"/>
    </row>
    <row r="212" spans="1:13" ht="26.25" x14ac:dyDescent="0.4">
      <c r="A212" s="88"/>
      <c r="B212" s="89"/>
      <c r="E212" s="28"/>
      <c r="F212" s="28"/>
      <c r="G212" s="28"/>
      <c r="H212" s="28"/>
    </row>
    <row r="213" spans="1:13" x14ac:dyDescent="0.3">
      <c r="E213" s="28"/>
      <c r="F213" s="28"/>
      <c r="G213" s="28"/>
      <c r="H213" s="28"/>
    </row>
  </sheetData>
  <mergeCells count="18">
    <mergeCell ref="A206:B206"/>
    <mergeCell ref="A208:B208"/>
    <mergeCell ref="A209:B210"/>
    <mergeCell ref="M8:R8"/>
    <mergeCell ref="M9:R9"/>
    <mergeCell ref="M11:R11"/>
    <mergeCell ref="M12:R12"/>
    <mergeCell ref="A201:F203"/>
    <mergeCell ref="G201:G203"/>
    <mergeCell ref="F206:G206"/>
    <mergeCell ref="F208:G208"/>
    <mergeCell ref="F209:G210"/>
    <mergeCell ref="M7:R7"/>
    <mergeCell ref="A1:C1"/>
    <mergeCell ref="Q1:R1"/>
    <mergeCell ref="B3:G3"/>
    <mergeCell ref="A6:D6"/>
    <mergeCell ref="A2:T2"/>
  </mergeCells>
  <pageMargins left="0.70866141732283472" right="0.70866141732283472" top="0.74803149606299213" bottom="0.74803149606299213" header="0.31496062992125984" footer="0.31496062992125984"/>
  <pageSetup paperSize="8" scale="4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D4E44-8870-4D11-9EAB-F70C99E7C0FA}">
  <dimension ref="A1:BJ213"/>
  <sheetViews>
    <sheetView topLeftCell="A142" zoomScale="65" zoomScaleNormal="65" workbookViewId="0">
      <selection activeCell="D180" sqref="D180"/>
    </sheetView>
  </sheetViews>
  <sheetFormatPr defaultColWidth="19.42578125" defaultRowHeight="18.75" x14ac:dyDescent="0.3"/>
  <cols>
    <col min="1" max="1" width="36.28515625" style="25" customWidth="1"/>
    <col min="2" max="2" width="39.85546875" style="26" customWidth="1"/>
    <col min="3" max="3" width="23.140625" style="2" customWidth="1"/>
    <col min="4" max="4" width="23.140625" style="1" customWidth="1"/>
    <col min="5" max="5" width="20" style="1" bestFit="1" customWidth="1"/>
    <col min="6" max="6" width="19.7109375" style="1" bestFit="1" customWidth="1"/>
    <col min="7" max="7" width="19" style="1" customWidth="1"/>
    <col min="8" max="9" width="19.7109375" style="1" bestFit="1" customWidth="1"/>
    <col min="10" max="11" width="19.7109375" style="1" customWidth="1"/>
    <col min="12" max="13" width="19.7109375" style="1" bestFit="1" customWidth="1"/>
    <col min="14" max="16" width="20" style="1" customWidth="1"/>
    <col min="17" max="17" width="19.5703125" style="1" bestFit="1" customWidth="1"/>
    <col min="18" max="19" width="21.140625" style="31" customWidth="1"/>
    <col min="20" max="20" width="23.140625" style="31" customWidth="1"/>
    <col min="21" max="62" width="19.42578125" style="31"/>
    <col min="63" max="16384" width="19.42578125" style="1"/>
  </cols>
  <sheetData>
    <row r="1" spans="1:20" ht="15.75" customHeight="1" thickBot="1" x14ac:dyDescent="0.35">
      <c r="A1" s="357" t="s">
        <v>66</v>
      </c>
      <c r="B1" s="358"/>
      <c r="C1" s="358"/>
      <c r="Q1" s="264"/>
      <c r="R1" s="55"/>
    </row>
    <row r="2" spans="1:20" ht="20.25" customHeight="1" x14ac:dyDescent="0.4">
      <c r="A2" s="363" t="s">
        <v>262</v>
      </c>
      <c r="B2" s="363"/>
      <c r="C2" s="363"/>
      <c r="D2" s="363"/>
      <c r="E2" s="363"/>
      <c r="F2" s="363"/>
      <c r="G2" s="363"/>
      <c r="H2" s="363"/>
      <c r="I2" s="363"/>
      <c r="J2" s="363"/>
      <c r="K2" s="363"/>
      <c r="L2" s="363"/>
      <c r="M2" s="363"/>
      <c r="N2" s="363"/>
      <c r="O2" s="363"/>
      <c r="P2" s="363"/>
      <c r="Q2" s="363"/>
      <c r="R2" s="363"/>
      <c r="S2" s="363"/>
      <c r="T2" s="363"/>
    </row>
    <row r="3" spans="1:20" ht="20.25" customHeight="1" x14ac:dyDescent="0.3">
      <c r="A3" s="268"/>
      <c r="B3" s="361"/>
      <c r="C3" s="361"/>
      <c r="D3" s="361"/>
      <c r="E3" s="361"/>
      <c r="F3" s="361"/>
      <c r="G3" s="361"/>
      <c r="H3" s="267"/>
      <c r="I3" s="269"/>
      <c r="J3" s="269"/>
      <c r="K3" s="269"/>
      <c r="L3" s="269"/>
      <c r="M3" s="269"/>
      <c r="N3" s="269"/>
      <c r="O3" s="269"/>
      <c r="P3" s="269"/>
      <c r="Q3" s="269"/>
      <c r="R3" s="55"/>
    </row>
    <row r="4" spans="1:20" ht="18" customHeight="1" x14ac:dyDescent="0.3">
      <c r="A4" s="6" t="s">
        <v>13</v>
      </c>
      <c r="B4" s="7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20" ht="22.5" customHeight="1" x14ac:dyDescent="0.3">
      <c r="A5" s="11" t="s">
        <v>66</v>
      </c>
      <c r="B5" s="12"/>
      <c r="C5" s="13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1:20" ht="16.5" customHeight="1" thickBot="1" x14ac:dyDescent="0.35">
      <c r="A6" s="362" t="s">
        <v>205</v>
      </c>
      <c r="B6" s="362"/>
      <c r="C6" s="362"/>
      <c r="D6" s="362"/>
      <c r="E6" s="14"/>
      <c r="F6" s="14"/>
      <c r="G6" s="14"/>
      <c r="H6" s="14"/>
      <c r="I6" s="14"/>
      <c r="J6" s="14"/>
      <c r="K6" s="14"/>
      <c r="L6" s="9"/>
      <c r="M6" s="9"/>
      <c r="N6" s="9"/>
      <c r="O6" s="9"/>
      <c r="P6" s="9"/>
    </row>
    <row r="7" spans="1:20" ht="36.75" customHeight="1" thickBot="1" x14ac:dyDescent="0.35">
      <c r="A7" s="72" t="s">
        <v>14</v>
      </c>
      <c r="B7" s="73" t="s">
        <v>198</v>
      </c>
      <c r="C7" s="74" t="s">
        <v>177</v>
      </c>
      <c r="D7" s="99" t="s">
        <v>199</v>
      </c>
      <c r="E7" s="79" t="s">
        <v>69</v>
      </c>
      <c r="F7" s="78"/>
      <c r="G7" s="78"/>
      <c r="H7" s="78"/>
      <c r="I7" s="78"/>
      <c r="J7" s="78"/>
      <c r="K7" s="78"/>
      <c r="L7" s="15"/>
      <c r="M7" s="359"/>
      <c r="N7" s="359"/>
      <c r="O7" s="359"/>
      <c r="P7" s="359"/>
      <c r="Q7" s="359"/>
    </row>
    <row r="8" spans="1:20" ht="19.5" customHeight="1" x14ac:dyDescent="0.3">
      <c r="A8" s="75" t="s">
        <v>9</v>
      </c>
      <c r="B8" s="76">
        <v>235270</v>
      </c>
      <c r="C8" s="76">
        <v>234906</v>
      </c>
      <c r="D8" s="90">
        <f>D199+E199+F199</f>
        <v>234270</v>
      </c>
      <c r="E8" s="79"/>
      <c r="F8" s="78"/>
      <c r="G8" s="78"/>
      <c r="H8" s="78"/>
      <c r="I8" s="78"/>
      <c r="J8" s="78"/>
      <c r="K8" s="78"/>
      <c r="L8" s="17"/>
      <c r="M8" s="360"/>
      <c r="N8" s="360"/>
      <c r="O8" s="360"/>
      <c r="P8" s="360"/>
      <c r="Q8" s="360"/>
    </row>
    <row r="9" spans="1:20" ht="36.75" customHeight="1" x14ac:dyDescent="0.3">
      <c r="A9" s="57" t="s">
        <v>59</v>
      </c>
      <c r="B9" s="16">
        <v>0</v>
      </c>
      <c r="C9" s="16">
        <v>0</v>
      </c>
      <c r="D9" s="91">
        <v>0</v>
      </c>
      <c r="E9" s="79" t="s">
        <v>144</v>
      </c>
      <c r="F9" s="78"/>
      <c r="G9" s="78"/>
      <c r="H9" s="78"/>
      <c r="I9" s="78"/>
      <c r="J9" s="78"/>
      <c r="K9" s="78"/>
      <c r="L9" s="18"/>
      <c r="M9" s="360"/>
      <c r="N9" s="360"/>
      <c r="O9" s="360"/>
      <c r="P9" s="360"/>
      <c r="Q9" s="360"/>
    </row>
    <row r="10" spans="1:20" ht="21" customHeight="1" x14ac:dyDescent="0.3">
      <c r="A10" s="57" t="s">
        <v>143</v>
      </c>
      <c r="B10" s="16">
        <v>104720</v>
      </c>
      <c r="C10" s="16">
        <v>104720</v>
      </c>
      <c r="D10" s="91">
        <f>G199+G201</f>
        <v>104720</v>
      </c>
      <c r="E10" s="83"/>
      <c r="F10" s="265"/>
      <c r="G10" s="265"/>
      <c r="H10" s="265"/>
      <c r="I10" s="265"/>
      <c r="J10" s="265"/>
      <c r="K10" s="265"/>
      <c r="L10" s="18"/>
      <c r="M10" s="266"/>
      <c r="N10" s="266"/>
      <c r="O10" s="266"/>
      <c r="P10" s="266"/>
      <c r="Q10" s="266"/>
    </row>
    <row r="11" spans="1:20" ht="34.5" customHeight="1" x14ac:dyDescent="0.3">
      <c r="A11" s="58" t="s">
        <v>8</v>
      </c>
      <c r="B11" s="20">
        <v>0</v>
      </c>
      <c r="C11" s="20">
        <v>0</v>
      </c>
      <c r="D11" s="92">
        <v>0</v>
      </c>
      <c r="E11" s="79" t="s">
        <v>70</v>
      </c>
      <c r="F11" s="78"/>
      <c r="G11" s="78"/>
      <c r="H11" s="78"/>
      <c r="I11" s="78"/>
      <c r="J11" s="78"/>
      <c r="K11" s="78"/>
      <c r="L11" s="18"/>
      <c r="M11" s="360"/>
      <c r="N11" s="360"/>
      <c r="O11" s="360"/>
      <c r="P11" s="360"/>
      <c r="Q11" s="360"/>
    </row>
    <row r="12" spans="1:20" x14ac:dyDescent="0.3">
      <c r="A12" s="59" t="s">
        <v>1</v>
      </c>
      <c r="B12" s="16">
        <v>2000</v>
      </c>
      <c r="C12" s="16">
        <v>2000</v>
      </c>
      <c r="D12" s="91">
        <f>L199</f>
        <v>2000</v>
      </c>
      <c r="E12" s="80" t="s">
        <v>71</v>
      </c>
      <c r="F12" s="81"/>
      <c r="G12" s="81"/>
      <c r="H12" s="81"/>
      <c r="I12" s="81"/>
      <c r="J12" s="81"/>
      <c r="K12" s="81"/>
      <c r="L12" s="21"/>
      <c r="M12" s="366"/>
      <c r="N12" s="366"/>
      <c r="O12" s="366"/>
      <c r="P12" s="366"/>
      <c r="Q12" s="366"/>
    </row>
    <row r="13" spans="1:20" x14ac:dyDescent="0.3">
      <c r="A13" s="59" t="s">
        <v>11</v>
      </c>
      <c r="B13" s="16">
        <v>1429568</v>
      </c>
      <c r="C13" s="16">
        <v>1429058</v>
      </c>
      <c r="D13" s="91">
        <f>I199</f>
        <v>1428200</v>
      </c>
      <c r="E13" s="82"/>
      <c r="F13" s="9"/>
      <c r="G13" s="22"/>
      <c r="H13" s="22"/>
      <c r="I13" s="9"/>
      <c r="J13" s="9"/>
      <c r="K13" s="9"/>
      <c r="L13" s="9"/>
      <c r="M13" s="9"/>
      <c r="N13" s="9"/>
      <c r="O13" s="9"/>
      <c r="P13" s="9"/>
    </row>
    <row r="14" spans="1:20" x14ac:dyDescent="0.3">
      <c r="A14" s="59" t="s">
        <v>174</v>
      </c>
      <c r="B14" s="16">
        <v>8040</v>
      </c>
      <c r="C14" s="16">
        <v>4861</v>
      </c>
      <c r="D14" s="91">
        <v>0</v>
      </c>
      <c r="E14" s="82"/>
      <c r="F14" s="9"/>
      <c r="G14" s="22"/>
      <c r="H14" s="22"/>
      <c r="I14" s="9"/>
      <c r="J14" s="9"/>
      <c r="K14" s="9"/>
      <c r="L14" s="9"/>
      <c r="M14" s="9"/>
      <c r="N14" s="9"/>
      <c r="O14" s="9"/>
      <c r="P14" s="9"/>
    </row>
    <row r="15" spans="1:20" ht="19.5" thickBot="1" x14ac:dyDescent="0.35">
      <c r="A15" s="108" t="s">
        <v>176</v>
      </c>
      <c r="B15" s="109">
        <v>2000</v>
      </c>
      <c r="C15" s="109">
        <v>2000</v>
      </c>
      <c r="D15" s="110">
        <f>M199</f>
        <v>2000</v>
      </c>
      <c r="E15" s="82"/>
      <c r="F15" s="9"/>
      <c r="G15" s="22"/>
      <c r="H15" s="22"/>
      <c r="I15" s="9"/>
      <c r="J15" s="9"/>
      <c r="K15" s="9"/>
      <c r="L15" s="9"/>
      <c r="M15" s="9"/>
      <c r="N15" s="9"/>
      <c r="O15" s="9"/>
      <c r="P15" s="9"/>
    </row>
    <row r="16" spans="1:20" ht="19.5" thickBot="1" x14ac:dyDescent="0.35">
      <c r="A16" s="152" t="s">
        <v>15</v>
      </c>
      <c r="B16" s="153">
        <v>1781598</v>
      </c>
      <c r="C16" s="153">
        <v>1777545</v>
      </c>
      <c r="D16" s="154">
        <f>SUM(D8:D15)</f>
        <v>1771190</v>
      </c>
      <c r="E16" s="82"/>
      <c r="F16" s="9"/>
      <c r="G16" s="24"/>
      <c r="H16" s="24"/>
      <c r="I16" s="9"/>
      <c r="J16" s="9"/>
      <c r="K16" s="9"/>
      <c r="L16" s="9"/>
      <c r="M16" s="9"/>
      <c r="N16" s="9"/>
      <c r="O16" s="9"/>
      <c r="P16" s="9"/>
    </row>
    <row r="17" spans="1:62" ht="23.25" customHeight="1" x14ac:dyDescent="0.3">
      <c r="A17" s="158" t="s">
        <v>197</v>
      </c>
      <c r="B17" s="159">
        <v>12000</v>
      </c>
      <c r="C17" s="159">
        <v>12000</v>
      </c>
      <c r="D17" s="160">
        <v>12000</v>
      </c>
      <c r="M17" s="9"/>
      <c r="N17" s="9"/>
      <c r="O17" s="9"/>
      <c r="P17" s="9"/>
    </row>
    <row r="18" spans="1:62" ht="22.5" customHeight="1" thickBot="1" x14ac:dyDescent="0.35">
      <c r="A18" s="155" t="s">
        <v>15</v>
      </c>
      <c r="B18" s="156">
        <v>1793598</v>
      </c>
      <c r="C18" s="156">
        <v>1789545</v>
      </c>
      <c r="D18" s="157">
        <f>SUM(D16:D17)</f>
        <v>1783190</v>
      </c>
      <c r="M18" s="9"/>
      <c r="N18" s="9"/>
      <c r="O18" s="9"/>
      <c r="P18" s="9"/>
    </row>
    <row r="19" spans="1:62" ht="30.75" customHeight="1" x14ac:dyDescent="0.3">
      <c r="B19" s="2"/>
      <c r="M19" s="9"/>
      <c r="N19" s="9"/>
      <c r="O19" s="9"/>
      <c r="P19" s="9"/>
    </row>
    <row r="20" spans="1:62" s="27" customFormat="1" ht="21.75" customHeight="1" thickBot="1" x14ac:dyDescent="0.35">
      <c r="A20" s="29" t="s">
        <v>16</v>
      </c>
      <c r="B20" s="30"/>
      <c r="C20" s="10"/>
      <c r="D20" s="12"/>
      <c r="E20" s="12"/>
      <c r="F20" s="12"/>
      <c r="G20" s="12"/>
      <c r="H20" s="12"/>
      <c r="I20" s="9"/>
      <c r="J20" s="9"/>
      <c r="K20" s="9"/>
      <c r="L20" s="52" t="s">
        <v>210</v>
      </c>
      <c r="M20" s="257">
        <v>7.5345000000000004</v>
      </c>
      <c r="R20" s="52" t="s">
        <v>210</v>
      </c>
      <c r="S20" s="257">
        <v>7.5345000000000004</v>
      </c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6"/>
      <c r="AZ20" s="56"/>
      <c r="BA20" s="56"/>
      <c r="BB20" s="56"/>
      <c r="BC20" s="56"/>
      <c r="BD20" s="56"/>
      <c r="BE20" s="56"/>
      <c r="BF20" s="56"/>
      <c r="BG20" s="56"/>
      <c r="BH20" s="56"/>
      <c r="BI20" s="56"/>
      <c r="BJ20" s="56"/>
    </row>
    <row r="21" spans="1:62" ht="114" customHeight="1" thickBot="1" x14ac:dyDescent="0.35">
      <c r="A21" s="199" t="s">
        <v>17</v>
      </c>
      <c r="B21" s="200" t="s">
        <v>0</v>
      </c>
      <c r="C21" s="201" t="s">
        <v>200</v>
      </c>
      <c r="D21" s="202" t="s">
        <v>245</v>
      </c>
      <c r="E21" s="202" t="s">
        <v>246</v>
      </c>
      <c r="F21" s="202" t="s">
        <v>247</v>
      </c>
      <c r="G21" s="202" t="s">
        <v>248</v>
      </c>
      <c r="H21" s="202" t="s">
        <v>8</v>
      </c>
      <c r="I21" s="202" t="s">
        <v>255</v>
      </c>
      <c r="J21" s="202" t="s">
        <v>249</v>
      </c>
      <c r="K21" s="202" t="s">
        <v>250</v>
      </c>
      <c r="L21" s="202" t="s">
        <v>251</v>
      </c>
      <c r="M21" s="202" t="s">
        <v>252</v>
      </c>
      <c r="N21" s="202" t="s">
        <v>24</v>
      </c>
      <c r="O21" s="202" t="s">
        <v>253</v>
      </c>
      <c r="P21" s="202" t="s">
        <v>254</v>
      </c>
      <c r="Q21" s="203" t="s">
        <v>214</v>
      </c>
      <c r="R21" s="203" t="s">
        <v>201</v>
      </c>
      <c r="S21" s="203" t="s">
        <v>207</v>
      </c>
      <c r="T21" s="204" t="s">
        <v>208</v>
      </c>
    </row>
    <row r="22" spans="1:62" ht="19.5" thickBot="1" x14ac:dyDescent="0.35">
      <c r="A22" s="205">
        <v>3</v>
      </c>
      <c r="B22" s="206"/>
      <c r="C22" s="187">
        <v>1790198</v>
      </c>
      <c r="D22" s="207">
        <f>D39</f>
        <v>90000</v>
      </c>
      <c r="E22" s="208">
        <f>E23+E39</f>
        <v>142270</v>
      </c>
      <c r="F22" s="209">
        <f>F23</f>
        <v>2000</v>
      </c>
      <c r="G22" s="210">
        <f>G39+G154+G164</f>
        <v>116020</v>
      </c>
      <c r="H22" s="209">
        <v>0</v>
      </c>
      <c r="I22" s="208">
        <f>I23+I39+I164</f>
        <v>1427500</v>
      </c>
      <c r="J22" s="208">
        <v>0</v>
      </c>
      <c r="K22" s="209">
        <f>K39</f>
        <v>0</v>
      </c>
      <c r="L22" s="211">
        <f>L39</f>
        <v>2000</v>
      </c>
      <c r="M22" s="209">
        <v>0</v>
      </c>
      <c r="N22" s="209">
        <v>0</v>
      </c>
      <c r="O22" s="208">
        <v>0</v>
      </c>
      <c r="P22" s="209">
        <f>P39</f>
        <v>0</v>
      </c>
      <c r="Q22" s="187">
        <v>1786145</v>
      </c>
      <c r="R22" s="187">
        <v>1779790</v>
      </c>
      <c r="S22" s="187">
        <v>1361036.5651337181</v>
      </c>
      <c r="T22" s="188">
        <v>630511.4566328224</v>
      </c>
    </row>
    <row r="23" spans="1:62" ht="19.5" thickBot="1" x14ac:dyDescent="0.35">
      <c r="A23" s="69">
        <v>31</v>
      </c>
      <c r="B23" s="70" t="s">
        <v>7</v>
      </c>
      <c r="C23" s="124">
        <v>1411600</v>
      </c>
      <c r="D23" s="111">
        <v>0</v>
      </c>
      <c r="E23" s="111">
        <f>E24+E29+E35</f>
        <v>0</v>
      </c>
      <c r="F23" s="71">
        <f>F29</f>
        <v>2000</v>
      </c>
      <c r="G23" s="119">
        <v>0</v>
      </c>
      <c r="H23" s="71">
        <v>0</v>
      </c>
      <c r="I23" s="111">
        <f>I24+I29+I35</f>
        <v>1400000</v>
      </c>
      <c r="J23" s="111">
        <v>0</v>
      </c>
      <c r="K23" s="71">
        <v>0</v>
      </c>
      <c r="L23" s="111">
        <v>0</v>
      </c>
      <c r="M23" s="71">
        <v>0</v>
      </c>
      <c r="N23" s="71">
        <v>0</v>
      </c>
      <c r="O23" s="111">
        <v>0</v>
      </c>
      <c r="P23" s="71">
        <v>0</v>
      </c>
      <c r="Q23" s="124">
        <v>1408095</v>
      </c>
      <c r="R23" s="124">
        <v>1402000</v>
      </c>
      <c r="S23" s="124">
        <v>1126276.4616099277</v>
      </c>
      <c r="T23" s="175">
        <v>449543.17871126154</v>
      </c>
    </row>
    <row r="24" spans="1:62" s="32" customFormat="1" ht="19.5" thickBot="1" x14ac:dyDescent="0.35">
      <c r="A24" s="69">
        <v>311</v>
      </c>
      <c r="B24" s="70" t="s">
        <v>20</v>
      </c>
      <c r="C24" s="182">
        <v>1162200</v>
      </c>
      <c r="D24" s="111">
        <v>0</v>
      </c>
      <c r="E24" s="111">
        <f>E25</f>
        <v>0</v>
      </c>
      <c r="F24" s="71">
        <v>0</v>
      </c>
      <c r="G24" s="119">
        <v>0</v>
      </c>
      <c r="H24" s="71">
        <v>0</v>
      </c>
      <c r="I24" s="111">
        <f>I25+I26+I27+I28</f>
        <v>1155000</v>
      </c>
      <c r="J24" s="111">
        <v>0</v>
      </c>
      <c r="K24" s="71">
        <v>0</v>
      </c>
      <c r="L24" s="111">
        <v>0</v>
      </c>
      <c r="M24" s="71">
        <v>0</v>
      </c>
      <c r="N24" s="71">
        <v>0</v>
      </c>
      <c r="O24" s="111">
        <v>0</v>
      </c>
      <c r="P24" s="71">
        <v>0</v>
      </c>
      <c r="Q24" s="182">
        <v>1159700</v>
      </c>
      <c r="R24" s="182">
        <v>1155000</v>
      </c>
      <c r="S24" s="182">
        <v>874908.75306921487</v>
      </c>
      <c r="T24" s="184">
        <v>378618.80947640847</v>
      </c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</row>
    <row r="25" spans="1:62" x14ac:dyDescent="0.3">
      <c r="A25" s="93">
        <v>31111</v>
      </c>
      <c r="B25" s="34" t="s">
        <v>29</v>
      </c>
      <c r="C25" s="212">
        <v>1107200</v>
      </c>
      <c r="D25" s="213">
        <v>0</v>
      </c>
      <c r="E25" s="213">
        <v>0</v>
      </c>
      <c r="F25" s="214">
        <v>0</v>
      </c>
      <c r="G25" s="214">
        <v>0</v>
      </c>
      <c r="H25" s="214">
        <v>0</v>
      </c>
      <c r="I25" s="213">
        <v>1100000</v>
      </c>
      <c r="J25" s="213">
        <v>0</v>
      </c>
      <c r="K25" s="214">
        <v>0</v>
      </c>
      <c r="L25" s="213">
        <v>0</v>
      </c>
      <c r="M25" s="214">
        <v>0</v>
      </c>
      <c r="N25" s="214">
        <v>0</v>
      </c>
      <c r="O25" s="213">
        <v>0</v>
      </c>
      <c r="P25" s="214">
        <v>0</v>
      </c>
      <c r="Q25" s="212">
        <v>1104700</v>
      </c>
      <c r="R25" s="189">
        <v>1100000</v>
      </c>
      <c r="S25" s="189">
        <v>801911.20844117051</v>
      </c>
      <c r="T25" s="216">
        <v>347777.17167695268</v>
      </c>
    </row>
    <row r="26" spans="1:62" x14ac:dyDescent="0.3">
      <c r="A26" s="96">
        <v>31113</v>
      </c>
      <c r="B26" s="39" t="s">
        <v>163</v>
      </c>
      <c r="C26" s="127">
        <v>0</v>
      </c>
      <c r="D26" s="60">
        <v>0</v>
      </c>
      <c r="E26" s="60">
        <v>0</v>
      </c>
      <c r="F26" s="67">
        <v>0</v>
      </c>
      <c r="G26" s="67">
        <v>0</v>
      </c>
      <c r="H26" s="67">
        <v>0</v>
      </c>
      <c r="I26" s="60">
        <v>0</v>
      </c>
      <c r="J26" s="60">
        <v>0</v>
      </c>
      <c r="K26" s="67">
        <v>0</v>
      </c>
      <c r="L26" s="60">
        <v>0</v>
      </c>
      <c r="M26" s="67">
        <v>0</v>
      </c>
      <c r="N26" s="67">
        <v>0</v>
      </c>
      <c r="O26" s="60">
        <v>0</v>
      </c>
      <c r="P26" s="67">
        <v>0</v>
      </c>
      <c r="Q26" s="127">
        <v>0</v>
      </c>
      <c r="R26" s="128">
        <v>0</v>
      </c>
      <c r="S26" s="128">
        <v>13272.280841462605</v>
      </c>
      <c r="T26" s="176">
        <v>3133.8934235848428</v>
      </c>
    </row>
    <row r="27" spans="1:62" x14ac:dyDescent="0.3">
      <c r="A27" s="96">
        <v>31131</v>
      </c>
      <c r="B27" s="39" t="s">
        <v>164</v>
      </c>
      <c r="C27" s="127">
        <v>40000</v>
      </c>
      <c r="D27" s="60">
        <v>0</v>
      </c>
      <c r="E27" s="60">
        <v>0</v>
      </c>
      <c r="F27" s="67">
        <v>0</v>
      </c>
      <c r="G27" s="67">
        <v>0</v>
      </c>
      <c r="H27" s="67">
        <v>0</v>
      </c>
      <c r="I27" s="60">
        <v>40000</v>
      </c>
      <c r="J27" s="60">
        <v>0</v>
      </c>
      <c r="K27" s="67">
        <v>0</v>
      </c>
      <c r="L27" s="60">
        <v>0</v>
      </c>
      <c r="M27" s="67">
        <v>0</v>
      </c>
      <c r="N27" s="67">
        <v>0</v>
      </c>
      <c r="O27" s="60">
        <v>0</v>
      </c>
      <c r="P27" s="67">
        <v>0</v>
      </c>
      <c r="Q27" s="127">
        <v>40000</v>
      </c>
      <c r="R27" s="128">
        <v>40000</v>
      </c>
      <c r="S27" s="128">
        <v>39816.842524387816</v>
      </c>
      <c r="T27" s="176">
        <v>19823.863560952948</v>
      </c>
    </row>
    <row r="28" spans="1:62" ht="19.5" thickBot="1" x14ac:dyDescent="0.35">
      <c r="A28" s="94">
        <v>31141</v>
      </c>
      <c r="B28" s="35" t="s">
        <v>165</v>
      </c>
      <c r="C28" s="125">
        <v>15000</v>
      </c>
      <c r="D28" s="61">
        <v>0</v>
      </c>
      <c r="E28" s="61">
        <v>0</v>
      </c>
      <c r="F28" s="68">
        <v>0</v>
      </c>
      <c r="G28" s="68">
        <v>0</v>
      </c>
      <c r="H28" s="68">
        <v>0</v>
      </c>
      <c r="I28" s="61">
        <v>15000</v>
      </c>
      <c r="J28" s="61">
        <v>0</v>
      </c>
      <c r="K28" s="68">
        <v>0</v>
      </c>
      <c r="L28" s="61">
        <v>0</v>
      </c>
      <c r="M28" s="68">
        <v>0</v>
      </c>
      <c r="N28" s="68">
        <v>0</v>
      </c>
      <c r="O28" s="61">
        <v>0</v>
      </c>
      <c r="P28" s="68">
        <v>0</v>
      </c>
      <c r="Q28" s="125">
        <v>15000</v>
      </c>
      <c r="R28" s="190">
        <v>15000</v>
      </c>
      <c r="S28" s="190">
        <v>19908.421262193908</v>
      </c>
      <c r="T28" s="217">
        <v>7883.8808149180431</v>
      </c>
    </row>
    <row r="29" spans="1:62" s="32" customFormat="1" ht="19.5" thickBot="1" x14ac:dyDescent="0.35">
      <c r="A29" s="69">
        <v>312</v>
      </c>
      <c r="B29" s="70" t="s">
        <v>18</v>
      </c>
      <c r="C29" s="182">
        <v>68190</v>
      </c>
      <c r="D29" s="111">
        <v>0</v>
      </c>
      <c r="E29" s="111">
        <f>E30+E33+E34</f>
        <v>0</v>
      </c>
      <c r="F29" s="71">
        <f>F30</f>
        <v>2000</v>
      </c>
      <c r="G29" s="119">
        <v>0</v>
      </c>
      <c r="H29" s="71">
        <v>0</v>
      </c>
      <c r="I29" s="111">
        <f>I30+I31+I32+I33+I34</f>
        <v>65000</v>
      </c>
      <c r="J29" s="111">
        <v>0</v>
      </c>
      <c r="K29" s="71">
        <v>0</v>
      </c>
      <c r="L29" s="111">
        <v>0</v>
      </c>
      <c r="M29" s="71">
        <v>0</v>
      </c>
      <c r="N29" s="71">
        <v>0</v>
      </c>
      <c r="O29" s="111">
        <v>0</v>
      </c>
      <c r="P29" s="71">
        <v>0</v>
      </c>
      <c r="Q29" s="182">
        <v>67595</v>
      </c>
      <c r="R29" s="182">
        <v>67000</v>
      </c>
      <c r="S29" s="182">
        <v>50301.944389143275</v>
      </c>
      <c r="T29" s="184">
        <v>8367.1524321454635</v>
      </c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</row>
    <row r="30" spans="1:62" x14ac:dyDescent="0.3">
      <c r="A30" s="93">
        <v>31212</v>
      </c>
      <c r="B30" s="34" t="s">
        <v>192</v>
      </c>
      <c r="C30" s="212">
        <v>8335</v>
      </c>
      <c r="D30" s="213">
        <v>0</v>
      </c>
      <c r="E30" s="213">
        <v>0</v>
      </c>
      <c r="F30" s="214">
        <v>2000</v>
      </c>
      <c r="G30" s="214">
        <v>0</v>
      </c>
      <c r="H30" s="214">
        <v>0</v>
      </c>
      <c r="I30" s="213">
        <v>6000</v>
      </c>
      <c r="J30" s="213">
        <v>0</v>
      </c>
      <c r="K30" s="214">
        <v>0</v>
      </c>
      <c r="L30" s="213">
        <v>0</v>
      </c>
      <c r="M30" s="214">
        <v>0</v>
      </c>
      <c r="N30" s="214">
        <v>0</v>
      </c>
      <c r="O30" s="213">
        <v>0</v>
      </c>
      <c r="P30" s="214">
        <v>0</v>
      </c>
      <c r="Q30" s="212">
        <v>8000</v>
      </c>
      <c r="R30" s="189">
        <v>8000</v>
      </c>
      <c r="S30" s="189">
        <v>12276.859778352909</v>
      </c>
      <c r="T30" s="216">
        <v>382.85354038091447</v>
      </c>
    </row>
    <row r="31" spans="1:62" x14ac:dyDescent="0.3">
      <c r="A31" s="96">
        <v>31213</v>
      </c>
      <c r="B31" s="39" t="s">
        <v>196</v>
      </c>
      <c r="C31" s="127">
        <v>33000</v>
      </c>
      <c r="D31" s="60">
        <v>0</v>
      </c>
      <c r="E31" s="60">
        <v>0</v>
      </c>
      <c r="F31" s="67">
        <v>0</v>
      </c>
      <c r="G31" s="67">
        <v>0</v>
      </c>
      <c r="H31" s="67">
        <v>0</v>
      </c>
      <c r="I31" s="60">
        <v>33000</v>
      </c>
      <c r="J31" s="60">
        <v>0</v>
      </c>
      <c r="K31" s="67">
        <v>0</v>
      </c>
      <c r="L31" s="60">
        <v>0</v>
      </c>
      <c r="M31" s="67">
        <v>0</v>
      </c>
      <c r="N31" s="67">
        <v>0</v>
      </c>
      <c r="O31" s="60">
        <v>0</v>
      </c>
      <c r="P31" s="67">
        <v>0</v>
      </c>
      <c r="Q31" s="127">
        <v>33000</v>
      </c>
      <c r="R31" s="128">
        <v>33000</v>
      </c>
      <c r="S31" s="128">
        <v>7963.3685048775624</v>
      </c>
      <c r="T31" s="176">
        <v>0</v>
      </c>
    </row>
    <row r="32" spans="1:62" x14ac:dyDescent="0.3">
      <c r="A32" s="96">
        <v>31215</v>
      </c>
      <c r="B32" s="39" t="s">
        <v>195</v>
      </c>
      <c r="C32" s="127">
        <v>2000</v>
      </c>
      <c r="D32" s="60">
        <v>0</v>
      </c>
      <c r="E32" s="60">
        <v>0</v>
      </c>
      <c r="F32" s="67">
        <v>0</v>
      </c>
      <c r="G32" s="67">
        <v>0</v>
      </c>
      <c r="H32" s="67">
        <v>0</v>
      </c>
      <c r="I32" s="60">
        <v>2000</v>
      </c>
      <c r="J32" s="60">
        <v>0</v>
      </c>
      <c r="K32" s="67">
        <v>0</v>
      </c>
      <c r="L32" s="60">
        <v>0</v>
      </c>
      <c r="M32" s="67">
        <v>0</v>
      </c>
      <c r="N32" s="67">
        <v>0</v>
      </c>
      <c r="O32" s="60">
        <v>0</v>
      </c>
      <c r="P32" s="67">
        <v>0</v>
      </c>
      <c r="Q32" s="127">
        <v>2000</v>
      </c>
      <c r="R32" s="128">
        <v>2000</v>
      </c>
      <c r="S32" s="128">
        <v>3981.6842524387812</v>
      </c>
      <c r="T32" s="176">
        <v>0</v>
      </c>
    </row>
    <row r="33" spans="1:62" x14ac:dyDescent="0.3">
      <c r="A33" s="96">
        <v>31216</v>
      </c>
      <c r="B33" s="39" t="s">
        <v>194</v>
      </c>
      <c r="C33" s="127">
        <v>20335</v>
      </c>
      <c r="D33" s="60">
        <v>0</v>
      </c>
      <c r="E33" s="60">
        <v>0</v>
      </c>
      <c r="F33" s="67">
        <v>0</v>
      </c>
      <c r="G33" s="67">
        <v>0</v>
      </c>
      <c r="H33" s="67">
        <v>0</v>
      </c>
      <c r="I33" s="60">
        <v>20000</v>
      </c>
      <c r="J33" s="60">
        <v>0</v>
      </c>
      <c r="K33" s="67">
        <v>0</v>
      </c>
      <c r="L33" s="60">
        <v>0</v>
      </c>
      <c r="M33" s="67">
        <v>0</v>
      </c>
      <c r="N33" s="67">
        <v>0</v>
      </c>
      <c r="O33" s="60">
        <v>0</v>
      </c>
      <c r="P33" s="67">
        <v>0</v>
      </c>
      <c r="Q33" s="127">
        <v>20335</v>
      </c>
      <c r="R33" s="128">
        <v>20000</v>
      </c>
      <c r="S33" s="128">
        <v>20240.228283230474</v>
      </c>
      <c r="T33" s="176">
        <v>7930.1878027739067</v>
      </c>
    </row>
    <row r="34" spans="1:62" ht="19.5" thickBot="1" x14ac:dyDescent="0.35">
      <c r="A34" s="94">
        <v>31219</v>
      </c>
      <c r="B34" s="35" t="s">
        <v>193</v>
      </c>
      <c r="C34" s="125">
        <v>4520</v>
      </c>
      <c r="D34" s="61">
        <v>0</v>
      </c>
      <c r="E34" s="61">
        <v>0</v>
      </c>
      <c r="F34" s="68">
        <v>0</v>
      </c>
      <c r="G34" s="68">
        <v>0</v>
      </c>
      <c r="H34" s="68">
        <v>0</v>
      </c>
      <c r="I34" s="61">
        <v>4000</v>
      </c>
      <c r="J34" s="61">
        <v>0</v>
      </c>
      <c r="K34" s="68">
        <v>0</v>
      </c>
      <c r="L34" s="61">
        <v>0</v>
      </c>
      <c r="M34" s="68">
        <v>0</v>
      </c>
      <c r="N34" s="68">
        <v>0</v>
      </c>
      <c r="O34" s="61">
        <v>0</v>
      </c>
      <c r="P34" s="68">
        <v>0</v>
      </c>
      <c r="Q34" s="125">
        <v>4260</v>
      </c>
      <c r="R34" s="190">
        <v>4000</v>
      </c>
      <c r="S34" s="190">
        <v>5839.8035702435463</v>
      </c>
      <c r="T34" s="217">
        <v>54.11108899064304</v>
      </c>
    </row>
    <row r="35" spans="1:62" s="32" customFormat="1" ht="19.5" thickBot="1" x14ac:dyDescent="0.35">
      <c r="A35" s="69">
        <v>313</v>
      </c>
      <c r="B35" s="70" t="s">
        <v>26</v>
      </c>
      <c r="C35" s="182">
        <v>181210</v>
      </c>
      <c r="D35" s="111">
        <v>0</v>
      </c>
      <c r="E35" s="111">
        <f>E36</f>
        <v>0</v>
      </c>
      <c r="F35" s="219">
        <v>0</v>
      </c>
      <c r="G35" s="119">
        <v>0</v>
      </c>
      <c r="H35" s="219">
        <v>0</v>
      </c>
      <c r="I35" s="111">
        <f>I36</f>
        <v>180000</v>
      </c>
      <c r="J35" s="111">
        <v>0</v>
      </c>
      <c r="K35" s="219">
        <v>0</v>
      </c>
      <c r="L35" s="111">
        <v>0</v>
      </c>
      <c r="M35" s="219">
        <v>0</v>
      </c>
      <c r="N35" s="219">
        <v>0</v>
      </c>
      <c r="O35" s="111">
        <v>0</v>
      </c>
      <c r="P35" s="219">
        <v>0</v>
      </c>
      <c r="Q35" s="182">
        <v>180800</v>
      </c>
      <c r="R35" s="182">
        <v>180000</v>
      </c>
      <c r="S35" s="182">
        <v>201065.76415156943</v>
      </c>
      <c r="T35" s="184">
        <v>62557.216802707539</v>
      </c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  <c r="BJ35" s="33"/>
    </row>
    <row r="36" spans="1:62" s="31" customFormat="1" x14ac:dyDescent="0.3">
      <c r="A36" s="218">
        <v>31321</v>
      </c>
      <c r="B36" s="34" t="s">
        <v>30</v>
      </c>
      <c r="C36" s="212">
        <v>181210</v>
      </c>
      <c r="D36" s="213">
        <v>0</v>
      </c>
      <c r="E36" s="213">
        <v>0</v>
      </c>
      <c r="F36" s="213">
        <v>0</v>
      </c>
      <c r="G36" s="214">
        <v>0</v>
      </c>
      <c r="H36" s="213">
        <v>0</v>
      </c>
      <c r="I36" s="213">
        <v>180000</v>
      </c>
      <c r="J36" s="213">
        <v>0</v>
      </c>
      <c r="K36" s="213">
        <v>0</v>
      </c>
      <c r="L36" s="213">
        <v>0</v>
      </c>
      <c r="M36" s="213">
        <v>0</v>
      </c>
      <c r="N36" s="213">
        <v>0</v>
      </c>
      <c r="O36" s="213">
        <v>0</v>
      </c>
      <c r="P36" s="213">
        <v>0</v>
      </c>
      <c r="Q36" s="212">
        <v>180800</v>
      </c>
      <c r="R36" s="189">
        <v>180000</v>
      </c>
      <c r="S36" s="189">
        <v>200003.98168425242</v>
      </c>
      <c r="T36" s="216">
        <v>62488.276594332732</v>
      </c>
    </row>
    <row r="37" spans="1:62" s="31" customFormat="1" x14ac:dyDescent="0.3">
      <c r="A37" s="97">
        <v>31322</v>
      </c>
      <c r="B37" s="41" t="s">
        <v>166</v>
      </c>
      <c r="C37" s="127">
        <v>0</v>
      </c>
      <c r="D37" s="129">
        <v>0</v>
      </c>
      <c r="E37" s="129">
        <v>0</v>
      </c>
      <c r="F37" s="197">
        <v>0</v>
      </c>
      <c r="G37" s="117">
        <v>0</v>
      </c>
      <c r="H37" s="197">
        <v>0</v>
      </c>
      <c r="I37" s="129">
        <v>0</v>
      </c>
      <c r="J37" s="129">
        <v>0</v>
      </c>
      <c r="K37" s="197">
        <v>0</v>
      </c>
      <c r="L37" s="129">
        <v>0</v>
      </c>
      <c r="M37" s="197">
        <v>0</v>
      </c>
      <c r="N37" s="197">
        <v>0</v>
      </c>
      <c r="O37" s="129">
        <v>0</v>
      </c>
      <c r="P37" s="197">
        <v>0</v>
      </c>
      <c r="Q37" s="127">
        <v>0</v>
      </c>
      <c r="R37" s="128">
        <v>0</v>
      </c>
      <c r="S37" s="128">
        <v>663.61404207313024</v>
      </c>
      <c r="T37" s="176">
        <v>15.669254761430752</v>
      </c>
    </row>
    <row r="38" spans="1:62" ht="19.5" thickBot="1" x14ac:dyDescent="0.35">
      <c r="A38" s="94">
        <v>31332</v>
      </c>
      <c r="B38" s="35" t="s">
        <v>167</v>
      </c>
      <c r="C38" s="125">
        <v>0</v>
      </c>
      <c r="D38" s="112">
        <v>0</v>
      </c>
      <c r="E38" s="112">
        <v>0</v>
      </c>
      <c r="F38" s="105">
        <v>0</v>
      </c>
      <c r="G38" s="115">
        <v>0</v>
      </c>
      <c r="H38" s="105">
        <v>0</v>
      </c>
      <c r="I38" s="112">
        <v>0</v>
      </c>
      <c r="J38" s="112">
        <v>0</v>
      </c>
      <c r="K38" s="105">
        <v>0</v>
      </c>
      <c r="L38" s="112">
        <v>0</v>
      </c>
      <c r="M38" s="105">
        <v>0</v>
      </c>
      <c r="N38" s="105">
        <v>0</v>
      </c>
      <c r="O38" s="112">
        <v>0</v>
      </c>
      <c r="P38" s="105">
        <v>0</v>
      </c>
      <c r="Q38" s="125">
        <v>0</v>
      </c>
      <c r="R38" s="190">
        <v>0</v>
      </c>
      <c r="S38" s="190">
        <v>398.16842524387812</v>
      </c>
      <c r="T38" s="217">
        <v>53.27095361337846</v>
      </c>
    </row>
    <row r="39" spans="1:62" ht="19.5" thickBot="1" x14ac:dyDescent="0.35">
      <c r="A39" s="69">
        <v>32</v>
      </c>
      <c r="B39" s="70" t="s">
        <v>19</v>
      </c>
      <c r="C39" s="182">
        <v>376628</v>
      </c>
      <c r="D39" s="220">
        <f>D40+D57+D82+D131+D135</f>
        <v>90000</v>
      </c>
      <c r="E39" s="111">
        <f>E40+E57+E82+E131</f>
        <v>142270</v>
      </c>
      <c r="F39" s="219">
        <v>0</v>
      </c>
      <c r="G39" s="221">
        <f>G40+G57+G82+G131+G135</f>
        <v>114850</v>
      </c>
      <c r="H39" s="219">
        <v>0</v>
      </c>
      <c r="I39" s="219">
        <f>I40+I82+I131+I135</f>
        <v>26700</v>
      </c>
      <c r="J39" s="219">
        <v>0</v>
      </c>
      <c r="K39" s="219">
        <f>K57</f>
        <v>0</v>
      </c>
      <c r="L39" s="219">
        <f>L82</f>
        <v>2000</v>
      </c>
      <c r="M39" s="219">
        <v>0</v>
      </c>
      <c r="N39" s="219">
        <v>0</v>
      </c>
      <c r="O39" s="111">
        <v>0</v>
      </c>
      <c r="P39" s="219">
        <f>P57</f>
        <v>0</v>
      </c>
      <c r="Q39" s="182">
        <v>376080</v>
      </c>
      <c r="R39" s="182">
        <v>375820</v>
      </c>
      <c r="S39" s="182">
        <v>230738.60242882738</v>
      </c>
      <c r="T39" s="184">
        <v>179462.58544030791</v>
      </c>
    </row>
    <row r="40" spans="1:62" s="32" customFormat="1" ht="39" customHeight="1" thickBot="1" x14ac:dyDescent="0.35">
      <c r="A40" s="69">
        <v>321</v>
      </c>
      <c r="B40" s="230" t="s">
        <v>60</v>
      </c>
      <c r="C40" s="182">
        <v>126190</v>
      </c>
      <c r="D40" s="220">
        <f>D41+D49+D51</f>
        <v>60000</v>
      </c>
      <c r="E40" s="111">
        <f>E41+E49</f>
        <v>25000</v>
      </c>
      <c r="F40" s="219">
        <v>0</v>
      </c>
      <c r="G40" s="221">
        <f>G41+G49+G51</f>
        <v>38300</v>
      </c>
      <c r="H40" s="219">
        <v>0</v>
      </c>
      <c r="I40" s="219">
        <f>I41</f>
        <v>2500</v>
      </c>
      <c r="J40" s="219">
        <v>0</v>
      </c>
      <c r="K40" s="219">
        <v>0</v>
      </c>
      <c r="L40" s="219">
        <v>0</v>
      </c>
      <c r="M40" s="219">
        <v>0</v>
      </c>
      <c r="N40" s="219">
        <v>0</v>
      </c>
      <c r="O40" s="111">
        <v>0</v>
      </c>
      <c r="P40" s="219">
        <v>0</v>
      </c>
      <c r="Q40" s="182">
        <v>126060</v>
      </c>
      <c r="R40" s="182">
        <v>125800</v>
      </c>
      <c r="S40" s="182">
        <v>65963.23578206914</v>
      </c>
      <c r="T40" s="184">
        <v>50337.68265976508</v>
      </c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  <c r="BF40" s="33"/>
      <c r="BG40" s="33"/>
      <c r="BH40" s="33"/>
      <c r="BI40" s="33"/>
      <c r="BJ40" s="33"/>
    </row>
    <row r="41" spans="1:62" s="36" customFormat="1" x14ac:dyDescent="0.3">
      <c r="A41" s="222">
        <v>3211</v>
      </c>
      <c r="B41" s="223" t="s">
        <v>31</v>
      </c>
      <c r="C41" s="224">
        <v>13600</v>
      </c>
      <c r="D41" s="225">
        <f>D42+D44+D46</f>
        <v>0</v>
      </c>
      <c r="E41" s="226">
        <v>0</v>
      </c>
      <c r="F41" s="227">
        <v>0</v>
      </c>
      <c r="G41" s="228">
        <f>G42+G43+G44+G45+G46+G47</f>
        <v>11100</v>
      </c>
      <c r="H41" s="227">
        <v>0</v>
      </c>
      <c r="I41" s="227">
        <f>I44</f>
        <v>2500</v>
      </c>
      <c r="J41" s="227">
        <v>0</v>
      </c>
      <c r="K41" s="227">
        <v>0</v>
      </c>
      <c r="L41" s="227">
        <v>0</v>
      </c>
      <c r="M41" s="227">
        <v>0</v>
      </c>
      <c r="N41" s="227">
        <v>0</v>
      </c>
      <c r="O41" s="226">
        <v>0</v>
      </c>
      <c r="P41" s="227">
        <v>0</v>
      </c>
      <c r="Q41" s="224">
        <v>13600</v>
      </c>
      <c r="R41" s="191">
        <v>13600</v>
      </c>
      <c r="S41" s="191">
        <v>8494.2597385360677</v>
      </c>
      <c r="T41" s="229">
        <v>7734.5796005043467</v>
      </c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1"/>
      <c r="BJ41" s="31"/>
    </row>
    <row r="42" spans="1:62" x14ac:dyDescent="0.3">
      <c r="A42" s="96">
        <v>32111</v>
      </c>
      <c r="B42" s="40" t="s">
        <v>72</v>
      </c>
      <c r="C42" s="127">
        <v>4100</v>
      </c>
      <c r="D42" s="63">
        <v>0</v>
      </c>
      <c r="E42" s="60">
        <v>0</v>
      </c>
      <c r="F42" s="60">
        <v>0</v>
      </c>
      <c r="G42" s="121">
        <v>4100</v>
      </c>
      <c r="H42" s="60">
        <v>0</v>
      </c>
      <c r="I42" s="60">
        <v>0</v>
      </c>
      <c r="J42" s="60">
        <v>0</v>
      </c>
      <c r="K42" s="60">
        <v>0</v>
      </c>
      <c r="L42" s="60">
        <v>0</v>
      </c>
      <c r="M42" s="60">
        <v>0</v>
      </c>
      <c r="N42" s="60">
        <v>0</v>
      </c>
      <c r="O42" s="60">
        <v>0</v>
      </c>
      <c r="P42" s="60">
        <v>0</v>
      </c>
      <c r="Q42" s="127">
        <v>4100</v>
      </c>
      <c r="R42" s="128">
        <v>4100</v>
      </c>
      <c r="S42" s="128">
        <v>2654.4561682925209</v>
      </c>
      <c r="T42" s="176">
        <v>3505.2093702302741</v>
      </c>
    </row>
    <row r="43" spans="1:62" ht="36.75" x14ac:dyDescent="0.3">
      <c r="A43" s="96">
        <v>32112</v>
      </c>
      <c r="B43" s="40" t="s">
        <v>73</v>
      </c>
      <c r="C43" s="127">
        <v>0</v>
      </c>
      <c r="D43" s="63">
        <v>0</v>
      </c>
      <c r="E43" s="60">
        <v>0</v>
      </c>
      <c r="F43" s="60">
        <v>0</v>
      </c>
      <c r="G43" s="121">
        <v>0</v>
      </c>
      <c r="H43" s="60">
        <v>0</v>
      </c>
      <c r="I43" s="60">
        <v>0</v>
      </c>
      <c r="J43" s="60">
        <v>0</v>
      </c>
      <c r="K43" s="60">
        <v>0</v>
      </c>
      <c r="L43" s="60">
        <v>0</v>
      </c>
      <c r="M43" s="60">
        <v>0</v>
      </c>
      <c r="N43" s="60">
        <v>0</v>
      </c>
      <c r="O43" s="60">
        <v>0</v>
      </c>
      <c r="P43" s="60">
        <v>0</v>
      </c>
      <c r="Q43" s="127">
        <v>0</v>
      </c>
      <c r="R43" s="128">
        <v>0</v>
      </c>
      <c r="S43" s="128">
        <v>1061.7824673170085</v>
      </c>
      <c r="T43" s="176">
        <v>120.20837480921097</v>
      </c>
    </row>
    <row r="44" spans="1:62" ht="36.75" x14ac:dyDescent="0.3">
      <c r="A44" s="96">
        <v>32113</v>
      </c>
      <c r="B44" s="40" t="s">
        <v>74</v>
      </c>
      <c r="C44" s="127">
        <v>7000</v>
      </c>
      <c r="D44" s="63">
        <v>0</v>
      </c>
      <c r="E44" s="60">
        <v>0</v>
      </c>
      <c r="F44" s="60">
        <v>0</v>
      </c>
      <c r="G44" s="121">
        <v>4500</v>
      </c>
      <c r="H44" s="60">
        <v>0</v>
      </c>
      <c r="I44" s="60">
        <v>2500</v>
      </c>
      <c r="J44" s="60">
        <v>0</v>
      </c>
      <c r="K44" s="60">
        <v>0</v>
      </c>
      <c r="L44" s="60">
        <v>0</v>
      </c>
      <c r="M44" s="60">
        <v>0</v>
      </c>
      <c r="N44" s="60">
        <v>0</v>
      </c>
      <c r="O44" s="60">
        <v>0</v>
      </c>
      <c r="P44" s="60">
        <v>0</v>
      </c>
      <c r="Q44" s="127">
        <v>7000</v>
      </c>
      <c r="R44" s="128">
        <v>7000</v>
      </c>
      <c r="S44" s="128">
        <v>1990.8421262193906</v>
      </c>
      <c r="T44" s="176">
        <v>2355.0507664742186</v>
      </c>
    </row>
    <row r="45" spans="1:62" ht="36.75" x14ac:dyDescent="0.3">
      <c r="A45" s="96">
        <v>32114</v>
      </c>
      <c r="B45" s="40" t="s">
        <v>75</v>
      </c>
      <c r="C45" s="127">
        <v>0</v>
      </c>
      <c r="D45" s="63">
        <v>0</v>
      </c>
      <c r="E45" s="60">
        <v>0</v>
      </c>
      <c r="F45" s="60">
        <v>0</v>
      </c>
      <c r="G45" s="121">
        <v>0</v>
      </c>
      <c r="H45" s="60">
        <v>0</v>
      </c>
      <c r="I45" s="60">
        <v>0</v>
      </c>
      <c r="J45" s="60">
        <v>0</v>
      </c>
      <c r="K45" s="60">
        <v>0</v>
      </c>
      <c r="L45" s="60">
        <v>0</v>
      </c>
      <c r="M45" s="60">
        <v>0</v>
      </c>
      <c r="N45" s="60">
        <v>0</v>
      </c>
      <c r="O45" s="60">
        <v>0</v>
      </c>
      <c r="P45" s="60">
        <v>0</v>
      </c>
      <c r="Q45" s="127">
        <v>0</v>
      </c>
      <c r="R45" s="128">
        <v>0</v>
      </c>
      <c r="S45" s="128">
        <v>1061.7824673170085</v>
      </c>
      <c r="T45" s="176">
        <v>0</v>
      </c>
    </row>
    <row r="46" spans="1:62" ht="36.75" x14ac:dyDescent="0.3">
      <c r="A46" s="96">
        <v>32115</v>
      </c>
      <c r="B46" s="40" t="s">
        <v>76</v>
      </c>
      <c r="C46" s="127">
        <v>2500</v>
      </c>
      <c r="D46" s="63">
        <v>0</v>
      </c>
      <c r="E46" s="60">
        <v>0</v>
      </c>
      <c r="F46" s="60">
        <v>0</v>
      </c>
      <c r="G46" s="121">
        <v>2500</v>
      </c>
      <c r="H46" s="60">
        <v>0</v>
      </c>
      <c r="I46" s="60">
        <v>0</v>
      </c>
      <c r="J46" s="60">
        <v>0</v>
      </c>
      <c r="K46" s="60">
        <v>0</v>
      </c>
      <c r="L46" s="60">
        <v>0</v>
      </c>
      <c r="M46" s="60">
        <v>0</v>
      </c>
      <c r="N46" s="60">
        <v>0</v>
      </c>
      <c r="O46" s="60">
        <v>0</v>
      </c>
      <c r="P46" s="60">
        <v>0</v>
      </c>
      <c r="Q46" s="127">
        <v>2500</v>
      </c>
      <c r="R46" s="128">
        <v>2500</v>
      </c>
      <c r="S46" s="128">
        <v>1327.2280841462605</v>
      </c>
      <c r="T46" s="176">
        <v>1754.1110889906429</v>
      </c>
    </row>
    <row r="47" spans="1:62" ht="36.75" x14ac:dyDescent="0.3">
      <c r="A47" s="96">
        <v>32116</v>
      </c>
      <c r="B47" s="40" t="s">
        <v>77</v>
      </c>
      <c r="C47" s="127">
        <v>0</v>
      </c>
      <c r="D47" s="63">
        <v>0</v>
      </c>
      <c r="E47" s="60">
        <v>0</v>
      </c>
      <c r="F47" s="60">
        <v>0</v>
      </c>
      <c r="G47" s="121">
        <v>0</v>
      </c>
      <c r="H47" s="60">
        <v>0</v>
      </c>
      <c r="I47" s="60">
        <v>0</v>
      </c>
      <c r="J47" s="60">
        <v>0</v>
      </c>
      <c r="K47" s="60">
        <v>0</v>
      </c>
      <c r="L47" s="60">
        <v>0</v>
      </c>
      <c r="M47" s="60">
        <v>0</v>
      </c>
      <c r="N47" s="60">
        <v>0</v>
      </c>
      <c r="O47" s="60">
        <v>0</v>
      </c>
      <c r="P47" s="60">
        <v>0</v>
      </c>
      <c r="Q47" s="127">
        <v>0</v>
      </c>
      <c r="R47" s="128">
        <v>0</v>
      </c>
      <c r="S47" s="128">
        <v>398.16842524387812</v>
      </c>
      <c r="T47" s="176">
        <v>0</v>
      </c>
    </row>
    <row r="48" spans="1:62" x14ac:dyDescent="0.3">
      <c r="A48" s="96">
        <v>32117</v>
      </c>
      <c r="B48" s="40" t="s">
        <v>78</v>
      </c>
      <c r="C48" s="127">
        <v>0</v>
      </c>
      <c r="D48" s="63">
        <v>0</v>
      </c>
      <c r="E48" s="60">
        <v>0</v>
      </c>
      <c r="F48" s="60">
        <v>0</v>
      </c>
      <c r="G48" s="121">
        <v>0</v>
      </c>
      <c r="H48" s="60">
        <v>0</v>
      </c>
      <c r="I48" s="60">
        <v>0</v>
      </c>
      <c r="J48" s="60">
        <v>0</v>
      </c>
      <c r="K48" s="60">
        <v>0</v>
      </c>
      <c r="L48" s="60">
        <v>0</v>
      </c>
      <c r="M48" s="60">
        <v>0</v>
      </c>
      <c r="N48" s="60">
        <v>0</v>
      </c>
      <c r="O48" s="60">
        <v>0</v>
      </c>
      <c r="P48" s="60">
        <v>0</v>
      </c>
      <c r="Q48" s="127">
        <v>0</v>
      </c>
      <c r="R48" s="128">
        <v>0</v>
      </c>
      <c r="S48" s="128">
        <v>0</v>
      </c>
      <c r="T48" s="176">
        <v>0</v>
      </c>
    </row>
    <row r="49" spans="1:62" ht="36.75" x14ac:dyDescent="0.3">
      <c r="A49" s="95">
        <v>3212</v>
      </c>
      <c r="B49" s="38" t="s">
        <v>215</v>
      </c>
      <c r="C49" s="308">
        <v>111390</v>
      </c>
      <c r="D49" s="309">
        <v>60000</v>
      </c>
      <c r="E49" s="62">
        <f>E50</f>
        <v>25000</v>
      </c>
      <c r="F49" s="62">
        <v>0</v>
      </c>
      <c r="G49" s="310">
        <f>G50</f>
        <v>26000</v>
      </c>
      <c r="H49" s="62">
        <v>0</v>
      </c>
      <c r="I49" s="62">
        <v>0</v>
      </c>
      <c r="J49" s="62">
        <v>0</v>
      </c>
      <c r="K49" s="62">
        <v>0</v>
      </c>
      <c r="L49" s="62">
        <v>0</v>
      </c>
      <c r="M49" s="62">
        <v>0</v>
      </c>
      <c r="N49" s="62">
        <v>0</v>
      </c>
      <c r="O49" s="62">
        <v>0</v>
      </c>
      <c r="P49" s="62">
        <v>0</v>
      </c>
      <c r="Q49" s="308">
        <v>111260</v>
      </c>
      <c r="R49" s="311">
        <v>111000</v>
      </c>
      <c r="S49" s="311">
        <v>56141.747959386819</v>
      </c>
      <c r="T49" s="312">
        <v>41972.669719291262</v>
      </c>
    </row>
    <row r="50" spans="1:62" s="36" customFormat="1" ht="36.75" x14ac:dyDescent="0.3">
      <c r="A50" s="97">
        <v>32121</v>
      </c>
      <c r="B50" s="42" t="s">
        <v>150</v>
      </c>
      <c r="C50" s="196">
        <v>111390</v>
      </c>
      <c r="D50" s="306">
        <v>60000</v>
      </c>
      <c r="E50" s="307">
        <v>25000</v>
      </c>
      <c r="F50" s="197">
        <v>0</v>
      </c>
      <c r="G50" s="303">
        <v>26000</v>
      </c>
      <c r="H50" s="197">
        <v>0</v>
      </c>
      <c r="I50" s="197">
        <v>0</v>
      </c>
      <c r="J50" s="197">
        <v>0</v>
      </c>
      <c r="K50" s="197">
        <v>0</v>
      </c>
      <c r="L50" s="197">
        <v>0</v>
      </c>
      <c r="M50" s="197">
        <v>0</v>
      </c>
      <c r="N50" s="197">
        <v>0</v>
      </c>
      <c r="O50" s="307">
        <v>0</v>
      </c>
      <c r="P50" s="197">
        <v>0</v>
      </c>
      <c r="Q50" s="196">
        <v>111061</v>
      </c>
      <c r="R50" s="302">
        <v>111000</v>
      </c>
      <c r="S50" s="302">
        <v>56141.747959386819</v>
      </c>
      <c r="T50" s="305">
        <v>41972.669719291262</v>
      </c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</row>
    <row r="51" spans="1:62" s="36" customFormat="1" x14ac:dyDescent="0.3">
      <c r="A51" s="95">
        <v>3213</v>
      </c>
      <c r="B51" s="38" t="s">
        <v>32</v>
      </c>
      <c r="C51" s="126">
        <v>1200</v>
      </c>
      <c r="D51" s="113">
        <v>0</v>
      </c>
      <c r="E51" s="116">
        <v>0</v>
      </c>
      <c r="F51" s="64">
        <v>0</v>
      </c>
      <c r="G51" s="120">
        <f>G52+G53</f>
        <v>1200</v>
      </c>
      <c r="H51" s="64">
        <v>0</v>
      </c>
      <c r="I51" s="64">
        <v>0</v>
      </c>
      <c r="J51" s="64">
        <v>0</v>
      </c>
      <c r="K51" s="64">
        <v>0</v>
      </c>
      <c r="L51" s="64">
        <v>0</v>
      </c>
      <c r="M51" s="64">
        <v>0</v>
      </c>
      <c r="N51" s="64">
        <v>0</v>
      </c>
      <c r="O51" s="64">
        <v>0</v>
      </c>
      <c r="P51" s="64">
        <v>0</v>
      </c>
      <c r="Q51" s="126">
        <v>1200</v>
      </c>
      <c r="R51" s="192">
        <v>1200</v>
      </c>
      <c r="S51" s="192">
        <v>1327.2280841462605</v>
      </c>
      <c r="T51" s="198">
        <v>630.43333996947376</v>
      </c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</row>
    <row r="52" spans="1:62" ht="36.75" x14ac:dyDescent="0.3">
      <c r="A52" s="96">
        <v>32131</v>
      </c>
      <c r="B52" s="40" t="s">
        <v>79</v>
      </c>
      <c r="C52" s="127">
        <v>900</v>
      </c>
      <c r="D52" s="63">
        <v>0</v>
      </c>
      <c r="E52" s="67">
        <v>0</v>
      </c>
      <c r="F52" s="67">
        <v>0</v>
      </c>
      <c r="G52" s="121">
        <v>900</v>
      </c>
      <c r="H52" s="67">
        <v>0</v>
      </c>
      <c r="I52" s="67">
        <v>0</v>
      </c>
      <c r="J52" s="67">
        <v>0</v>
      </c>
      <c r="K52" s="67">
        <v>0</v>
      </c>
      <c r="L52" s="67">
        <v>0</v>
      </c>
      <c r="M52" s="67">
        <v>0</v>
      </c>
      <c r="N52" s="67">
        <v>0</v>
      </c>
      <c r="O52" s="67">
        <v>0</v>
      </c>
      <c r="P52" s="67">
        <v>0</v>
      </c>
      <c r="Q52" s="127">
        <v>900</v>
      </c>
      <c r="R52" s="128">
        <v>900</v>
      </c>
      <c r="S52" s="128">
        <v>663.61404207313024</v>
      </c>
      <c r="T52" s="176">
        <v>630.43333996947376</v>
      </c>
    </row>
    <row r="53" spans="1:62" x14ac:dyDescent="0.3">
      <c r="A53" s="96">
        <v>32132</v>
      </c>
      <c r="B53" s="40" t="s">
        <v>80</v>
      </c>
      <c r="C53" s="127">
        <v>300</v>
      </c>
      <c r="D53" s="63">
        <v>0</v>
      </c>
      <c r="E53" s="67">
        <v>0</v>
      </c>
      <c r="F53" s="67">
        <v>0</v>
      </c>
      <c r="G53" s="121">
        <v>300</v>
      </c>
      <c r="H53" s="67">
        <v>0</v>
      </c>
      <c r="I53" s="67">
        <v>0</v>
      </c>
      <c r="J53" s="67">
        <v>0</v>
      </c>
      <c r="K53" s="67">
        <v>0</v>
      </c>
      <c r="L53" s="67">
        <v>0</v>
      </c>
      <c r="M53" s="67">
        <v>0</v>
      </c>
      <c r="N53" s="67">
        <v>0</v>
      </c>
      <c r="O53" s="67">
        <v>0</v>
      </c>
      <c r="P53" s="67">
        <v>0</v>
      </c>
      <c r="Q53" s="127">
        <v>300</v>
      </c>
      <c r="R53" s="128">
        <v>300</v>
      </c>
      <c r="S53" s="128">
        <v>663.61404207313024</v>
      </c>
      <c r="T53" s="176">
        <v>0</v>
      </c>
    </row>
    <row r="54" spans="1:62" s="36" customFormat="1" ht="36.75" x14ac:dyDescent="0.3">
      <c r="A54" s="95">
        <v>3214</v>
      </c>
      <c r="B54" s="38" t="s">
        <v>57</v>
      </c>
      <c r="C54" s="126">
        <v>0</v>
      </c>
      <c r="D54" s="113">
        <v>0</v>
      </c>
      <c r="E54" s="116">
        <v>0</v>
      </c>
      <c r="F54" s="64">
        <v>0</v>
      </c>
      <c r="G54" s="120">
        <v>0</v>
      </c>
      <c r="H54" s="64">
        <v>0</v>
      </c>
      <c r="I54" s="64">
        <v>0</v>
      </c>
      <c r="J54" s="64">
        <v>0</v>
      </c>
      <c r="K54" s="64">
        <v>0</v>
      </c>
      <c r="L54" s="64">
        <v>0</v>
      </c>
      <c r="M54" s="64">
        <v>0</v>
      </c>
      <c r="N54" s="64">
        <v>0</v>
      </c>
      <c r="O54" s="64">
        <v>0</v>
      </c>
      <c r="P54" s="64">
        <v>0</v>
      </c>
      <c r="Q54" s="126">
        <v>0</v>
      </c>
      <c r="R54" s="192">
        <v>0</v>
      </c>
      <c r="S54" s="192">
        <v>0</v>
      </c>
      <c r="T54" s="198">
        <v>0</v>
      </c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</row>
    <row r="55" spans="1:62" ht="36.75" x14ac:dyDescent="0.3">
      <c r="A55" s="96">
        <v>32141</v>
      </c>
      <c r="B55" s="40" t="s">
        <v>57</v>
      </c>
      <c r="C55" s="127">
        <v>0</v>
      </c>
      <c r="D55" s="63">
        <v>0</v>
      </c>
      <c r="E55" s="67">
        <v>0</v>
      </c>
      <c r="F55" s="67">
        <v>0</v>
      </c>
      <c r="G55" s="121">
        <v>0</v>
      </c>
      <c r="H55" s="67">
        <v>0</v>
      </c>
      <c r="I55" s="67">
        <v>0</v>
      </c>
      <c r="J55" s="67">
        <v>0</v>
      </c>
      <c r="K55" s="67">
        <v>0</v>
      </c>
      <c r="L55" s="67">
        <v>0</v>
      </c>
      <c r="M55" s="67">
        <v>0</v>
      </c>
      <c r="N55" s="67">
        <v>0</v>
      </c>
      <c r="O55" s="67">
        <v>0</v>
      </c>
      <c r="P55" s="67">
        <v>0</v>
      </c>
      <c r="Q55" s="127">
        <v>0</v>
      </c>
      <c r="R55" s="128">
        <v>0</v>
      </c>
      <c r="S55" s="128">
        <v>0</v>
      </c>
      <c r="T55" s="176">
        <v>0</v>
      </c>
    </row>
    <row r="56" spans="1:62" ht="19.5" thickBot="1" x14ac:dyDescent="0.35">
      <c r="A56" s="94">
        <v>32149</v>
      </c>
      <c r="B56" s="231" t="s">
        <v>81</v>
      </c>
      <c r="C56" s="125">
        <v>0</v>
      </c>
      <c r="D56" s="232">
        <v>0</v>
      </c>
      <c r="E56" s="68">
        <v>0</v>
      </c>
      <c r="F56" s="68">
        <v>0</v>
      </c>
      <c r="G56" s="123">
        <v>0</v>
      </c>
      <c r="H56" s="68">
        <v>0</v>
      </c>
      <c r="I56" s="68">
        <v>0</v>
      </c>
      <c r="J56" s="68">
        <v>0</v>
      </c>
      <c r="K56" s="68">
        <v>0</v>
      </c>
      <c r="L56" s="68">
        <v>0</v>
      </c>
      <c r="M56" s="68">
        <v>0</v>
      </c>
      <c r="N56" s="68">
        <v>0</v>
      </c>
      <c r="O56" s="68">
        <v>0</v>
      </c>
      <c r="P56" s="68">
        <v>0</v>
      </c>
      <c r="Q56" s="125">
        <v>0</v>
      </c>
      <c r="R56" s="190">
        <v>0</v>
      </c>
      <c r="S56" s="190">
        <v>0</v>
      </c>
      <c r="T56" s="217">
        <v>0</v>
      </c>
    </row>
    <row r="57" spans="1:62" s="32" customFormat="1" ht="37.5" thickBot="1" x14ac:dyDescent="0.35">
      <c r="A57" s="69">
        <v>322</v>
      </c>
      <c r="B57" s="230" t="s">
        <v>3</v>
      </c>
      <c r="C57" s="182">
        <v>122968</v>
      </c>
      <c r="D57" s="220">
        <f>D58+D67+D78</f>
        <v>3900</v>
      </c>
      <c r="E57" s="119">
        <f>E67</f>
        <v>96000</v>
      </c>
      <c r="F57" s="71">
        <v>0</v>
      </c>
      <c r="G57" s="183">
        <f>G58+G65+G67+G73+G78+G80</f>
        <v>22650</v>
      </c>
      <c r="H57" s="71">
        <v>0</v>
      </c>
      <c r="I57" s="71">
        <v>0</v>
      </c>
      <c r="J57" s="71">
        <v>0</v>
      </c>
      <c r="K57" s="71">
        <f>K65</f>
        <v>0</v>
      </c>
      <c r="L57" s="71">
        <v>0</v>
      </c>
      <c r="M57" s="71">
        <v>0</v>
      </c>
      <c r="N57" s="71">
        <v>0</v>
      </c>
      <c r="O57" s="71">
        <v>0</v>
      </c>
      <c r="P57" s="71">
        <f>P65</f>
        <v>0</v>
      </c>
      <c r="Q57" s="182">
        <v>122550</v>
      </c>
      <c r="R57" s="182">
        <v>122550</v>
      </c>
      <c r="S57" s="182">
        <v>48443.825071338506</v>
      </c>
      <c r="T57" s="184">
        <v>67403.40699449199</v>
      </c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  <c r="BF57" s="33"/>
      <c r="BG57" s="33"/>
      <c r="BH57" s="33"/>
      <c r="BI57" s="33"/>
      <c r="BJ57" s="33"/>
    </row>
    <row r="58" spans="1:62" s="36" customFormat="1" x14ac:dyDescent="0.3">
      <c r="A58" s="222">
        <v>3221</v>
      </c>
      <c r="B58" s="223" t="s">
        <v>33</v>
      </c>
      <c r="C58" s="224">
        <v>5100</v>
      </c>
      <c r="D58" s="225">
        <f>D59+D62+D63+D64</f>
        <v>0</v>
      </c>
      <c r="E58" s="233">
        <v>0</v>
      </c>
      <c r="F58" s="234">
        <v>0</v>
      </c>
      <c r="G58" s="228">
        <f>G59+G60+G62+G63+G64</f>
        <v>5100</v>
      </c>
      <c r="H58" s="234">
        <v>0</v>
      </c>
      <c r="I58" s="234">
        <v>0</v>
      </c>
      <c r="J58" s="234">
        <v>0</v>
      </c>
      <c r="K58" s="234">
        <v>0</v>
      </c>
      <c r="L58" s="234">
        <v>0</v>
      </c>
      <c r="M58" s="234">
        <v>0</v>
      </c>
      <c r="N58" s="234">
        <v>0</v>
      </c>
      <c r="O58" s="234">
        <v>0</v>
      </c>
      <c r="P58" s="234">
        <v>0</v>
      </c>
      <c r="Q58" s="224">
        <v>5100</v>
      </c>
      <c r="R58" s="191">
        <v>5100</v>
      </c>
      <c r="S58" s="191">
        <v>7167.0316543898061</v>
      </c>
      <c r="T58" s="229">
        <v>2313.7261928462403</v>
      </c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</row>
    <row r="59" spans="1:62" x14ac:dyDescent="0.3">
      <c r="A59" s="96">
        <v>32211</v>
      </c>
      <c r="B59" s="40" t="s">
        <v>33</v>
      </c>
      <c r="C59" s="127">
        <v>2300</v>
      </c>
      <c r="D59" s="63">
        <v>0</v>
      </c>
      <c r="E59" s="67">
        <v>0</v>
      </c>
      <c r="F59" s="67">
        <v>0</v>
      </c>
      <c r="G59" s="121">
        <v>2300</v>
      </c>
      <c r="H59" s="67">
        <v>0</v>
      </c>
      <c r="I59" s="67">
        <v>0</v>
      </c>
      <c r="J59" s="67">
        <v>0</v>
      </c>
      <c r="K59" s="67">
        <v>0</v>
      </c>
      <c r="L59" s="67">
        <v>0</v>
      </c>
      <c r="M59" s="67">
        <v>0</v>
      </c>
      <c r="N59" s="67">
        <v>0</v>
      </c>
      <c r="O59" s="67">
        <v>0</v>
      </c>
      <c r="P59" s="67">
        <v>0</v>
      </c>
      <c r="Q59" s="127">
        <v>2300</v>
      </c>
      <c r="R59" s="128">
        <v>2300</v>
      </c>
      <c r="S59" s="128">
        <v>1990.8421262193906</v>
      </c>
      <c r="T59" s="176">
        <v>1011.9901785121773</v>
      </c>
    </row>
    <row r="60" spans="1:62" ht="36.75" x14ac:dyDescent="0.3">
      <c r="A60" s="96">
        <v>32212</v>
      </c>
      <c r="B60" s="40" t="s">
        <v>82</v>
      </c>
      <c r="C60" s="127">
        <v>0</v>
      </c>
      <c r="D60" s="63">
        <v>0</v>
      </c>
      <c r="E60" s="67">
        <v>0</v>
      </c>
      <c r="F60" s="67">
        <v>0</v>
      </c>
      <c r="G60" s="121">
        <v>0</v>
      </c>
      <c r="H60" s="67">
        <v>0</v>
      </c>
      <c r="I60" s="67">
        <v>0</v>
      </c>
      <c r="J60" s="67">
        <v>0</v>
      </c>
      <c r="K60" s="67">
        <v>0</v>
      </c>
      <c r="L60" s="67">
        <v>0</v>
      </c>
      <c r="M60" s="67">
        <v>0</v>
      </c>
      <c r="N60" s="67">
        <v>0</v>
      </c>
      <c r="O60" s="67">
        <v>0</v>
      </c>
      <c r="P60" s="67">
        <v>0</v>
      </c>
      <c r="Q60" s="127">
        <v>0</v>
      </c>
      <c r="R60" s="128">
        <v>0</v>
      </c>
      <c r="S60" s="128">
        <v>663.61404207313024</v>
      </c>
      <c r="T60" s="176">
        <v>99.734554383170746</v>
      </c>
    </row>
    <row r="61" spans="1:62" x14ac:dyDescent="0.3">
      <c r="A61" s="96">
        <v>32213</v>
      </c>
      <c r="B61" s="40" t="s">
        <v>83</v>
      </c>
      <c r="C61" s="127">
        <v>0</v>
      </c>
      <c r="D61" s="63">
        <v>0</v>
      </c>
      <c r="E61" s="67">
        <v>0</v>
      </c>
      <c r="F61" s="67">
        <v>0</v>
      </c>
      <c r="G61" s="121">
        <v>0</v>
      </c>
      <c r="H61" s="67">
        <v>0</v>
      </c>
      <c r="I61" s="67">
        <v>0</v>
      </c>
      <c r="J61" s="67">
        <v>0</v>
      </c>
      <c r="K61" s="67">
        <v>0</v>
      </c>
      <c r="L61" s="67">
        <v>0</v>
      </c>
      <c r="M61" s="67">
        <v>0</v>
      </c>
      <c r="N61" s="67">
        <v>0</v>
      </c>
      <c r="O61" s="67">
        <v>0</v>
      </c>
      <c r="P61" s="67">
        <v>0</v>
      </c>
      <c r="Q61" s="127">
        <v>0</v>
      </c>
      <c r="R61" s="128">
        <v>0</v>
      </c>
      <c r="S61" s="128">
        <v>663.61404207313024</v>
      </c>
      <c r="T61" s="176">
        <v>0</v>
      </c>
    </row>
    <row r="62" spans="1:62" ht="36.75" x14ac:dyDescent="0.3">
      <c r="A62" s="96">
        <v>32214</v>
      </c>
      <c r="B62" s="40" t="s">
        <v>84</v>
      </c>
      <c r="C62" s="127">
        <v>400</v>
      </c>
      <c r="D62" s="63">
        <v>0</v>
      </c>
      <c r="E62" s="67">
        <v>0</v>
      </c>
      <c r="F62" s="67">
        <v>0</v>
      </c>
      <c r="G62" s="121">
        <v>400</v>
      </c>
      <c r="H62" s="67">
        <v>0</v>
      </c>
      <c r="I62" s="67">
        <v>0</v>
      </c>
      <c r="J62" s="67">
        <v>0</v>
      </c>
      <c r="K62" s="67">
        <v>0</v>
      </c>
      <c r="L62" s="67">
        <v>0</v>
      </c>
      <c r="M62" s="67">
        <v>0</v>
      </c>
      <c r="N62" s="67">
        <v>0</v>
      </c>
      <c r="O62" s="67">
        <v>0</v>
      </c>
      <c r="P62" s="67">
        <v>0</v>
      </c>
      <c r="Q62" s="127">
        <v>400</v>
      </c>
      <c r="R62" s="128">
        <v>400</v>
      </c>
      <c r="S62" s="128">
        <v>1592.6737009755125</v>
      </c>
      <c r="T62" s="176">
        <v>33.359877895016254</v>
      </c>
    </row>
    <row r="63" spans="1:62" x14ac:dyDescent="0.3">
      <c r="A63" s="96">
        <v>32216</v>
      </c>
      <c r="B63" s="40" t="s">
        <v>85</v>
      </c>
      <c r="C63" s="127">
        <v>1200</v>
      </c>
      <c r="D63" s="63">
        <v>0</v>
      </c>
      <c r="E63" s="67">
        <v>0</v>
      </c>
      <c r="F63" s="67">
        <v>0</v>
      </c>
      <c r="G63" s="121">
        <v>1200</v>
      </c>
      <c r="H63" s="67">
        <v>0</v>
      </c>
      <c r="I63" s="67">
        <v>0</v>
      </c>
      <c r="J63" s="67">
        <v>0</v>
      </c>
      <c r="K63" s="67">
        <v>0</v>
      </c>
      <c r="L63" s="67">
        <v>0</v>
      </c>
      <c r="M63" s="67">
        <v>0</v>
      </c>
      <c r="N63" s="67">
        <v>0</v>
      </c>
      <c r="O63" s="67">
        <v>0</v>
      </c>
      <c r="P63" s="67">
        <v>0</v>
      </c>
      <c r="Q63" s="127">
        <v>1200</v>
      </c>
      <c r="R63" s="128">
        <v>1200</v>
      </c>
      <c r="S63" s="128">
        <v>1592.6737009755125</v>
      </c>
      <c r="T63" s="176">
        <v>5.3036034242484567</v>
      </c>
    </row>
    <row r="64" spans="1:62" ht="36.75" x14ac:dyDescent="0.3">
      <c r="A64" s="96">
        <v>32219</v>
      </c>
      <c r="B64" s="40" t="s">
        <v>86</v>
      </c>
      <c r="C64" s="127">
        <v>1200</v>
      </c>
      <c r="D64" s="63">
        <v>0</v>
      </c>
      <c r="E64" s="67">
        <v>0</v>
      </c>
      <c r="F64" s="67">
        <v>0</v>
      </c>
      <c r="G64" s="121">
        <v>1200</v>
      </c>
      <c r="H64" s="67">
        <v>0</v>
      </c>
      <c r="I64" s="67">
        <v>0</v>
      </c>
      <c r="J64" s="67">
        <v>0</v>
      </c>
      <c r="K64" s="67">
        <v>0</v>
      </c>
      <c r="L64" s="67">
        <v>0</v>
      </c>
      <c r="M64" s="67">
        <v>0</v>
      </c>
      <c r="N64" s="67">
        <v>0</v>
      </c>
      <c r="O64" s="67">
        <v>0</v>
      </c>
      <c r="P64" s="67">
        <v>0</v>
      </c>
      <c r="Q64" s="127">
        <v>1200</v>
      </c>
      <c r="R64" s="128">
        <v>1200</v>
      </c>
      <c r="S64" s="128">
        <v>663.61404207313024</v>
      </c>
      <c r="T64" s="176">
        <v>1163.3379786316277</v>
      </c>
    </row>
    <row r="65" spans="1:62" s="36" customFormat="1" x14ac:dyDescent="0.3">
      <c r="A65" s="95">
        <v>3222</v>
      </c>
      <c r="B65" s="38" t="s">
        <v>67</v>
      </c>
      <c r="C65" s="126">
        <v>618</v>
      </c>
      <c r="D65" s="113">
        <v>0</v>
      </c>
      <c r="E65" s="116">
        <v>0</v>
      </c>
      <c r="F65" s="64">
        <v>0</v>
      </c>
      <c r="G65" s="120">
        <f>G66</f>
        <v>200</v>
      </c>
      <c r="H65" s="64">
        <v>0</v>
      </c>
      <c r="I65" s="64">
        <v>0</v>
      </c>
      <c r="J65" s="64">
        <v>0</v>
      </c>
      <c r="K65" s="64">
        <f>K66</f>
        <v>0</v>
      </c>
      <c r="L65" s="64">
        <v>0</v>
      </c>
      <c r="M65" s="64">
        <v>0</v>
      </c>
      <c r="N65" s="64">
        <v>0</v>
      </c>
      <c r="O65" s="64">
        <v>0</v>
      </c>
      <c r="P65" s="64">
        <f>P66</f>
        <v>0</v>
      </c>
      <c r="Q65" s="126">
        <v>200</v>
      </c>
      <c r="R65" s="192">
        <v>200</v>
      </c>
      <c r="S65" s="192">
        <v>0</v>
      </c>
      <c r="T65" s="198">
        <v>0</v>
      </c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31"/>
      <c r="BJ65" s="31"/>
    </row>
    <row r="66" spans="1:62" s="36" customFormat="1" x14ac:dyDescent="0.3">
      <c r="A66" s="97">
        <v>32224</v>
      </c>
      <c r="B66" s="42" t="s">
        <v>213</v>
      </c>
      <c r="C66" s="196">
        <v>618</v>
      </c>
      <c r="D66" s="306">
        <v>0</v>
      </c>
      <c r="E66" s="304">
        <v>0</v>
      </c>
      <c r="F66" s="66">
        <v>0</v>
      </c>
      <c r="G66" s="303">
        <v>200</v>
      </c>
      <c r="H66" s="66">
        <v>0</v>
      </c>
      <c r="I66" s="66">
        <v>0</v>
      </c>
      <c r="J66" s="66">
        <v>0</v>
      </c>
      <c r="K66" s="66">
        <v>0</v>
      </c>
      <c r="L66" s="66">
        <v>0</v>
      </c>
      <c r="M66" s="66">
        <v>0</v>
      </c>
      <c r="N66" s="66">
        <v>0</v>
      </c>
      <c r="O66" s="66">
        <v>0</v>
      </c>
      <c r="P66" s="66">
        <v>0</v>
      </c>
      <c r="Q66" s="196">
        <v>200</v>
      </c>
      <c r="R66" s="302">
        <v>200</v>
      </c>
      <c r="S66" s="302">
        <v>0</v>
      </c>
      <c r="T66" s="305">
        <v>0</v>
      </c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</row>
    <row r="67" spans="1:62" s="36" customFormat="1" x14ac:dyDescent="0.3">
      <c r="A67" s="95">
        <v>3223</v>
      </c>
      <c r="B67" s="38" t="s">
        <v>34</v>
      </c>
      <c r="C67" s="126">
        <v>115600</v>
      </c>
      <c r="D67" s="113">
        <f>D70</f>
        <v>3900</v>
      </c>
      <c r="E67" s="116">
        <f>E68+E70</f>
        <v>96000</v>
      </c>
      <c r="F67" s="64">
        <v>0</v>
      </c>
      <c r="G67" s="120">
        <f>G70+G71</f>
        <v>15700</v>
      </c>
      <c r="H67" s="64">
        <v>0</v>
      </c>
      <c r="I67" s="64">
        <v>0</v>
      </c>
      <c r="J67" s="64">
        <v>0</v>
      </c>
      <c r="K67" s="64">
        <v>0</v>
      </c>
      <c r="L67" s="64">
        <v>0</v>
      </c>
      <c r="M67" s="64">
        <v>0</v>
      </c>
      <c r="N67" s="64">
        <v>0</v>
      </c>
      <c r="O67" s="64">
        <v>0</v>
      </c>
      <c r="P67" s="64">
        <v>0</v>
      </c>
      <c r="Q67" s="126">
        <v>115600</v>
      </c>
      <c r="R67" s="192">
        <v>115600</v>
      </c>
      <c r="S67" s="192">
        <v>35171.544229875901</v>
      </c>
      <c r="T67" s="198">
        <v>63228.634945915452</v>
      </c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1"/>
      <c r="BH67" s="31"/>
      <c r="BI67" s="31"/>
      <c r="BJ67" s="31"/>
    </row>
    <row r="68" spans="1:62" x14ac:dyDescent="0.3">
      <c r="A68" s="96">
        <v>32231</v>
      </c>
      <c r="B68" s="40" t="s">
        <v>34</v>
      </c>
      <c r="C68" s="127">
        <v>17000</v>
      </c>
      <c r="D68" s="63">
        <v>0</v>
      </c>
      <c r="E68" s="67">
        <v>17000</v>
      </c>
      <c r="F68" s="67">
        <v>0</v>
      </c>
      <c r="G68" s="121">
        <v>0</v>
      </c>
      <c r="H68" s="67">
        <v>0</v>
      </c>
      <c r="I68" s="67">
        <v>0</v>
      </c>
      <c r="J68" s="67">
        <v>0</v>
      </c>
      <c r="K68" s="67">
        <v>0</v>
      </c>
      <c r="L68" s="67">
        <v>0</v>
      </c>
      <c r="M68" s="67">
        <v>0</v>
      </c>
      <c r="N68" s="67">
        <v>0</v>
      </c>
      <c r="O68" s="67">
        <v>0</v>
      </c>
      <c r="P68" s="67">
        <v>0</v>
      </c>
      <c r="Q68" s="127">
        <v>17000</v>
      </c>
      <c r="R68" s="128">
        <v>17000</v>
      </c>
      <c r="S68" s="128">
        <v>10617.824673170084</v>
      </c>
      <c r="T68" s="176">
        <v>6001.7399960183157</v>
      </c>
    </row>
    <row r="69" spans="1:62" x14ac:dyDescent="0.3">
      <c r="A69" s="96">
        <v>32232</v>
      </c>
      <c r="B69" s="40" t="s">
        <v>87</v>
      </c>
      <c r="C69" s="127">
        <v>0</v>
      </c>
      <c r="D69" s="63">
        <v>0</v>
      </c>
      <c r="E69" s="67">
        <v>0</v>
      </c>
      <c r="F69" s="67">
        <v>0</v>
      </c>
      <c r="G69" s="121">
        <v>0</v>
      </c>
      <c r="H69" s="67">
        <v>0</v>
      </c>
      <c r="I69" s="67">
        <v>0</v>
      </c>
      <c r="J69" s="67">
        <v>0</v>
      </c>
      <c r="K69" s="67">
        <v>0</v>
      </c>
      <c r="L69" s="67">
        <v>0</v>
      </c>
      <c r="M69" s="67">
        <v>0</v>
      </c>
      <c r="N69" s="67">
        <v>0</v>
      </c>
      <c r="O69" s="67">
        <v>0</v>
      </c>
      <c r="P69" s="67">
        <v>0</v>
      </c>
      <c r="Q69" s="127">
        <v>0</v>
      </c>
      <c r="R69" s="128">
        <v>0</v>
      </c>
      <c r="S69" s="128">
        <v>0</v>
      </c>
      <c r="T69" s="176">
        <v>0</v>
      </c>
    </row>
    <row r="70" spans="1:62" x14ac:dyDescent="0.3">
      <c r="A70" s="96">
        <v>32233</v>
      </c>
      <c r="B70" s="40" t="s">
        <v>88</v>
      </c>
      <c r="C70" s="127">
        <v>96100</v>
      </c>
      <c r="D70" s="63">
        <v>3900</v>
      </c>
      <c r="E70" s="67">
        <v>79000</v>
      </c>
      <c r="F70" s="67">
        <v>0</v>
      </c>
      <c r="G70" s="121">
        <v>13200</v>
      </c>
      <c r="H70" s="67">
        <v>0</v>
      </c>
      <c r="I70" s="67">
        <v>0</v>
      </c>
      <c r="J70" s="67">
        <v>0</v>
      </c>
      <c r="K70" s="67">
        <v>0</v>
      </c>
      <c r="L70" s="67">
        <v>0</v>
      </c>
      <c r="M70" s="67">
        <v>0</v>
      </c>
      <c r="N70" s="67">
        <v>0</v>
      </c>
      <c r="O70" s="67">
        <v>0</v>
      </c>
      <c r="P70" s="67">
        <v>0</v>
      </c>
      <c r="Q70" s="127">
        <v>96100</v>
      </c>
      <c r="R70" s="128">
        <v>96100</v>
      </c>
      <c r="S70" s="128">
        <v>22562.877430486427</v>
      </c>
      <c r="T70" s="176">
        <v>55925.028867210829</v>
      </c>
    </row>
    <row r="71" spans="1:62" x14ac:dyDescent="0.3">
      <c r="A71" s="96">
        <v>32234</v>
      </c>
      <c r="B71" s="40" t="s">
        <v>89</v>
      </c>
      <c r="C71" s="127">
        <v>2500</v>
      </c>
      <c r="D71" s="63">
        <v>0</v>
      </c>
      <c r="E71" s="67">
        <v>0</v>
      </c>
      <c r="F71" s="67">
        <v>0</v>
      </c>
      <c r="G71" s="121">
        <v>2500</v>
      </c>
      <c r="H71" s="67">
        <v>0</v>
      </c>
      <c r="I71" s="67">
        <v>0</v>
      </c>
      <c r="J71" s="67">
        <v>0</v>
      </c>
      <c r="K71" s="67">
        <v>0</v>
      </c>
      <c r="L71" s="67">
        <v>0</v>
      </c>
      <c r="M71" s="67">
        <v>0</v>
      </c>
      <c r="N71" s="67">
        <v>0</v>
      </c>
      <c r="O71" s="67">
        <v>0</v>
      </c>
      <c r="P71" s="67">
        <v>0</v>
      </c>
      <c r="Q71" s="127">
        <v>2500</v>
      </c>
      <c r="R71" s="128">
        <v>2500</v>
      </c>
      <c r="S71" s="128">
        <v>1990.8421262193906</v>
      </c>
      <c r="T71" s="176">
        <v>1301.8660826863095</v>
      </c>
    </row>
    <row r="72" spans="1:62" ht="36.75" x14ac:dyDescent="0.3">
      <c r="A72" s="96">
        <v>32239</v>
      </c>
      <c r="B72" s="40" t="s">
        <v>90</v>
      </c>
      <c r="C72" s="127">
        <v>0</v>
      </c>
      <c r="D72" s="63">
        <v>0</v>
      </c>
      <c r="E72" s="67">
        <v>0</v>
      </c>
      <c r="F72" s="67">
        <v>0</v>
      </c>
      <c r="G72" s="121">
        <v>0</v>
      </c>
      <c r="H72" s="67">
        <v>0</v>
      </c>
      <c r="I72" s="67">
        <v>0</v>
      </c>
      <c r="J72" s="67">
        <v>0</v>
      </c>
      <c r="K72" s="67">
        <v>0</v>
      </c>
      <c r="L72" s="67">
        <v>0</v>
      </c>
      <c r="M72" s="67">
        <v>0</v>
      </c>
      <c r="N72" s="67">
        <v>0</v>
      </c>
      <c r="O72" s="67">
        <v>0</v>
      </c>
      <c r="P72" s="67">
        <v>0</v>
      </c>
      <c r="Q72" s="127">
        <v>0</v>
      </c>
      <c r="R72" s="128">
        <v>0</v>
      </c>
      <c r="S72" s="128">
        <v>0</v>
      </c>
      <c r="T72" s="176">
        <v>0</v>
      </c>
    </row>
    <row r="73" spans="1:62" s="36" customFormat="1" x14ac:dyDescent="0.3">
      <c r="A73" s="95">
        <v>3224</v>
      </c>
      <c r="B73" s="38" t="s">
        <v>35</v>
      </c>
      <c r="C73" s="126">
        <v>1650</v>
      </c>
      <c r="D73" s="113">
        <v>0</v>
      </c>
      <c r="E73" s="116">
        <v>0</v>
      </c>
      <c r="F73" s="64">
        <v>0</v>
      </c>
      <c r="G73" s="120">
        <f>G74+G75+G76+G77</f>
        <v>1650</v>
      </c>
      <c r="H73" s="64">
        <v>0</v>
      </c>
      <c r="I73" s="64">
        <v>0</v>
      </c>
      <c r="J73" s="64">
        <v>0</v>
      </c>
      <c r="K73" s="64">
        <v>0</v>
      </c>
      <c r="L73" s="64">
        <v>0</v>
      </c>
      <c r="M73" s="64">
        <v>0</v>
      </c>
      <c r="N73" s="64">
        <v>0</v>
      </c>
      <c r="O73" s="64">
        <v>0</v>
      </c>
      <c r="P73" s="64">
        <v>0</v>
      </c>
      <c r="Q73" s="126">
        <v>1650</v>
      </c>
      <c r="R73" s="192">
        <v>1650</v>
      </c>
      <c r="S73" s="192">
        <v>3450.7930187802772</v>
      </c>
      <c r="T73" s="198">
        <v>934.12568849956858</v>
      </c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</row>
    <row r="74" spans="1:62" s="31" customFormat="1" ht="36.75" x14ac:dyDescent="0.3">
      <c r="A74" s="97">
        <v>32241</v>
      </c>
      <c r="B74" s="42" t="s">
        <v>93</v>
      </c>
      <c r="C74" s="127">
        <v>500</v>
      </c>
      <c r="D74" s="114">
        <v>0</v>
      </c>
      <c r="E74" s="117">
        <v>0</v>
      </c>
      <c r="F74" s="66">
        <v>0</v>
      </c>
      <c r="G74" s="121">
        <v>500</v>
      </c>
      <c r="H74" s="66">
        <v>0</v>
      </c>
      <c r="I74" s="66">
        <v>0</v>
      </c>
      <c r="J74" s="66">
        <v>0</v>
      </c>
      <c r="K74" s="66">
        <v>0</v>
      </c>
      <c r="L74" s="66">
        <v>0</v>
      </c>
      <c r="M74" s="66">
        <v>0</v>
      </c>
      <c r="N74" s="66">
        <v>0</v>
      </c>
      <c r="O74" s="66">
        <v>0</v>
      </c>
      <c r="P74" s="66">
        <v>0</v>
      </c>
      <c r="Q74" s="127">
        <v>500</v>
      </c>
      <c r="R74" s="128">
        <v>500</v>
      </c>
      <c r="S74" s="128">
        <v>663.61404207313024</v>
      </c>
      <c r="T74" s="176">
        <v>241.92315349392791</v>
      </c>
    </row>
    <row r="75" spans="1:62" s="31" customFormat="1" ht="36.75" customHeight="1" x14ac:dyDescent="0.3">
      <c r="A75" s="97">
        <v>32242</v>
      </c>
      <c r="B75" s="42" t="s">
        <v>154</v>
      </c>
      <c r="C75" s="127">
        <v>200</v>
      </c>
      <c r="D75" s="114">
        <v>0</v>
      </c>
      <c r="E75" s="117">
        <v>0</v>
      </c>
      <c r="F75" s="66">
        <v>0</v>
      </c>
      <c r="G75" s="121">
        <v>200</v>
      </c>
      <c r="H75" s="66">
        <v>0</v>
      </c>
      <c r="I75" s="66">
        <v>0</v>
      </c>
      <c r="J75" s="66">
        <v>0</v>
      </c>
      <c r="K75" s="66">
        <v>0</v>
      </c>
      <c r="L75" s="66">
        <v>0</v>
      </c>
      <c r="M75" s="66">
        <v>0</v>
      </c>
      <c r="N75" s="66">
        <v>0</v>
      </c>
      <c r="O75" s="66">
        <v>0</v>
      </c>
      <c r="P75" s="66">
        <v>0</v>
      </c>
      <c r="Q75" s="127">
        <v>200</v>
      </c>
      <c r="R75" s="128">
        <v>200</v>
      </c>
      <c r="S75" s="128">
        <v>1327.2280841462605</v>
      </c>
      <c r="T75" s="176">
        <v>82.250978830712057</v>
      </c>
    </row>
    <row r="76" spans="1:62" s="31" customFormat="1" ht="36.75" customHeight="1" x14ac:dyDescent="0.3">
      <c r="A76" s="97">
        <v>32243</v>
      </c>
      <c r="B76" s="42" t="s">
        <v>175</v>
      </c>
      <c r="C76" s="127">
        <v>150</v>
      </c>
      <c r="D76" s="114">
        <v>0</v>
      </c>
      <c r="E76" s="117">
        <v>0</v>
      </c>
      <c r="F76" s="66">
        <v>0</v>
      </c>
      <c r="G76" s="121">
        <v>150</v>
      </c>
      <c r="H76" s="66">
        <v>0</v>
      </c>
      <c r="I76" s="66">
        <v>0</v>
      </c>
      <c r="J76" s="66">
        <v>0</v>
      </c>
      <c r="K76" s="66">
        <v>0</v>
      </c>
      <c r="L76" s="66">
        <v>0</v>
      </c>
      <c r="M76" s="66">
        <v>0</v>
      </c>
      <c r="N76" s="66">
        <v>0</v>
      </c>
      <c r="O76" s="66">
        <v>0</v>
      </c>
      <c r="P76" s="66">
        <v>0</v>
      </c>
      <c r="Q76" s="127">
        <v>150</v>
      </c>
      <c r="R76" s="128">
        <v>150</v>
      </c>
      <c r="S76" s="128">
        <v>132.72280841462606</v>
      </c>
      <c r="T76" s="176">
        <v>38.467051562811065</v>
      </c>
    </row>
    <row r="77" spans="1:62" s="31" customFormat="1" ht="36.75" x14ac:dyDescent="0.3">
      <c r="A77" s="97">
        <v>32244</v>
      </c>
      <c r="B77" s="42" t="s">
        <v>94</v>
      </c>
      <c r="C77" s="127">
        <v>800</v>
      </c>
      <c r="D77" s="114">
        <v>0</v>
      </c>
      <c r="E77" s="117">
        <v>0</v>
      </c>
      <c r="F77" s="66">
        <v>0</v>
      </c>
      <c r="G77" s="121">
        <v>800</v>
      </c>
      <c r="H77" s="66">
        <v>0</v>
      </c>
      <c r="I77" s="66">
        <v>0</v>
      </c>
      <c r="J77" s="66">
        <v>0</v>
      </c>
      <c r="K77" s="66">
        <v>0</v>
      </c>
      <c r="L77" s="66">
        <v>0</v>
      </c>
      <c r="M77" s="66">
        <v>0</v>
      </c>
      <c r="N77" s="66">
        <v>0</v>
      </c>
      <c r="O77" s="66">
        <v>0</v>
      </c>
      <c r="P77" s="66">
        <v>0</v>
      </c>
      <c r="Q77" s="127">
        <v>800</v>
      </c>
      <c r="R77" s="128">
        <v>800</v>
      </c>
      <c r="S77" s="128">
        <v>1327.2280841462605</v>
      </c>
      <c r="T77" s="176">
        <v>571.48450461211758</v>
      </c>
    </row>
    <row r="78" spans="1:62" s="36" customFormat="1" x14ac:dyDescent="0.3">
      <c r="A78" s="95">
        <v>3225</v>
      </c>
      <c r="B78" s="38" t="s">
        <v>36</v>
      </c>
      <c r="C78" s="126">
        <v>0</v>
      </c>
      <c r="D78" s="113">
        <f>D79</f>
        <v>0</v>
      </c>
      <c r="E78" s="116">
        <v>0</v>
      </c>
      <c r="F78" s="64">
        <v>0</v>
      </c>
      <c r="G78" s="120">
        <f>G79</f>
        <v>0</v>
      </c>
      <c r="H78" s="64">
        <v>0</v>
      </c>
      <c r="I78" s="64">
        <v>0</v>
      </c>
      <c r="J78" s="64">
        <v>0</v>
      </c>
      <c r="K78" s="64">
        <v>0</v>
      </c>
      <c r="L78" s="64">
        <v>0</v>
      </c>
      <c r="M78" s="64">
        <v>0</v>
      </c>
      <c r="N78" s="64">
        <v>0</v>
      </c>
      <c r="O78" s="64">
        <v>0</v>
      </c>
      <c r="P78" s="64">
        <v>0</v>
      </c>
      <c r="Q78" s="126">
        <v>0</v>
      </c>
      <c r="R78" s="192">
        <v>0</v>
      </c>
      <c r="S78" s="192">
        <v>1990.8421262193906</v>
      </c>
      <c r="T78" s="198">
        <v>692.10564735549804</v>
      </c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31"/>
    </row>
    <row r="79" spans="1:62" x14ac:dyDescent="0.3">
      <c r="A79" s="96">
        <v>32251</v>
      </c>
      <c r="B79" s="40" t="s">
        <v>36</v>
      </c>
      <c r="C79" s="127">
        <v>0</v>
      </c>
      <c r="D79" s="63">
        <v>0</v>
      </c>
      <c r="E79" s="67">
        <v>0</v>
      </c>
      <c r="F79" s="67">
        <v>0</v>
      </c>
      <c r="G79" s="121">
        <v>0</v>
      </c>
      <c r="H79" s="67">
        <v>0</v>
      </c>
      <c r="I79" s="67">
        <v>0</v>
      </c>
      <c r="J79" s="67">
        <v>0</v>
      </c>
      <c r="K79" s="67">
        <v>0</v>
      </c>
      <c r="L79" s="67">
        <v>0</v>
      </c>
      <c r="M79" s="67">
        <v>0</v>
      </c>
      <c r="N79" s="67">
        <v>0</v>
      </c>
      <c r="O79" s="67">
        <v>0</v>
      </c>
      <c r="P79" s="67">
        <v>0</v>
      </c>
      <c r="Q79" s="127">
        <v>0</v>
      </c>
      <c r="R79" s="128">
        <v>0</v>
      </c>
      <c r="S79" s="128">
        <v>1990.8421262193906</v>
      </c>
      <c r="T79" s="176">
        <v>692.10564735549804</v>
      </c>
    </row>
    <row r="80" spans="1:62" s="36" customFormat="1" x14ac:dyDescent="0.3">
      <c r="A80" s="95">
        <v>3227</v>
      </c>
      <c r="B80" s="43" t="s">
        <v>58</v>
      </c>
      <c r="C80" s="126">
        <v>0</v>
      </c>
      <c r="D80" s="113">
        <v>0</v>
      </c>
      <c r="E80" s="116">
        <v>0</v>
      </c>
      <c r="F80" s="64">
        <v>0</v>
      </c>
      <c r="G80" s="120">
        <f>G81</f>
        <v>0</v>
      </c>
      <c r="H80" s="64">
        <v>0</v>
      </c>
      <c r="I80" s="64">
        <v>0</v>
      </c>
      <c r="J80" s="64">
        <v>0</v>
      </c>
      <c r="K80" s="64">
        <v>0</v>
      </c>
      <c r="L80" s="64">
        <v>0</v>
      </c>
      <c r="M80" s="64">
        <v>0</v>
      </c>
      <c r="N80" s="64">
        <v>0</v>
      </c>
      <c r="O80" s="64">
        <v>0</v>
      </c>
      <c r="P80" s="64">
        <v>0</v>
      </c>
      <c r="Q80" s="126">
        <v>0</v>
      </c>
      <c r="R80" s="192">
        <v>0</v>
      </c>
      <c r="S80" s="192">
        <v>663.61404207313024</v>
      </c>
      <c r="T80" s="198">
        <v>234.81451987524056</v>
      </c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  <c r="AV80" s="31"/>
      <c r="AW80" s="31"/>
      <c r="AX80" s="31"/>
      <c r="AY80" s="31"/>
      <c r="AZ80" s="31"/>
      <c r="BA80" s="31"/>
      <c r="BB80" s="31"/>
      <c r="BC80" s="31"/>
      <c r="BD80" s="31"/>
      <c r="BE80" s="31"/>
      <c r="BF80" s="31"/>
      <c r="BG80" s="31"/>
      <c r="BH80" s="31"/>
      <c r="BI80" s="31"/>
      <c r="BJ80" s="31"/>
    </row>
    <row r="81" spans="1:62" s="31" customFormat="1" ht="19.5" thickBot="1" x14ac:dyDescent="0.35">
      <c r="A81" s="98">
        <v>32271</v>
      </c>
      <c r="B81" s="235" t="s">
        <v>58</v>
      </c>
      <c r="C81" s="125">
        <v>0</v>
      </c>
      <c r="D81" s="185">
        <v>0</v>
      </c>
      <c r="E81" s="115">
        <v>0</v>
      </c>
      <c r="F81" s="65">
        <v>0</v>
      </c>
      <c r="G81" s="123">
        <v>0</v>
      </c>
      <c r="H81" s="65">
        <v>0</v>
      </c>
      <c r="I81" s="65">
        <v>0</v>
      </c>
      <c r="J81" s="65">
        <v>0</v>
      </c>
      <c r="K81" s="65">
        <v>0</v>
      </c>
      <c r="L81" s="65">
        <v>0</v>
      </c>
      <c r="M81" s="65">
        <v>0</v>
      </c>
      <c r="N81" s="65">
        <v>0</v>
      </c>
      <c r="O81" s="65">
        <v>0</v>
      </c>
      <c r="P81" s="65">
        <v>0</v>
      </c>
      <c r="Q81" s="125">
        <v>0</v>
      </c>
      <c r="R81" s="190">
        <v>0</v>
      </c>
      <c r="S81" s="190">
        <v>663.61404207313024</v>
      </c>
      <c r="T81" s="217">
        <v>234.81451987524056</v>
      </c>
    </row>
    <row r="82" spans="1:62" s="32" customFormat="1" ht="19.5" thickBot="1" x14ac:dyDescent="0.35">
      <c r="A82" s="69">
        <v>323</v>
      </c>
      <c r="B82" s="70" t="s">
        <v>4</v>
      </c>
      <c r="C82" s="182">
        <v>105700</v>
      </c>
      <c r="D82" s="220">
        <f>D83+D89+D94+D105+D111+D114+D120+D124</f>
        <v>22100</v>
      </c>
      <c r="E82" s="237">
        <f>E83+E99+E105</f>
        <v>19800</v>
      </c>
      <c r="F82" s="238">
        <v>0</v>
      </c>
      <c r="G82" s="183">
        <f>G83+G89+G94+G99+G105+G111+G114+G120+G124</f>
        <v>45300</v>
      </c>
      <c r="H82" s="238">
        <v>0</v>
      </c>
      <c r="I82" s="111">
        <f>I83+I114+I111</f>
        <v>16500</v>
      </c>
      <c r="J82" s="238">
        <v>0</v>
      </c>
      <c r="K82" s="238">
        <v>0</v>
      </c>
      <c r="L82" s="238">
        <f>L83+L94</f>
        <v>2000</v>
      </c>
      <c r="M82" s="238">
        <v>0</v>
      </c>
      <c r="N82" s="238">
        <v>0</v>
      </c>
      <c r="O82" s="238">
        <v>0</v>
      </c>
      <c r="P82" s="238">
        <v>0</v>
      </c>
      <c r="Q82" s="182">
        <v>105700</v>
      </c>
      <c r="R82" s="182">
        <v>105700</v>
      </c>
      <c r="S82" s="182">
        <v>95228.615037494194</v>
      </c>
      <c r="T82" s="184">
        <v>47798.428561948371</v>
      </c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  <c r="AR82" s="33"/>
      <c r="AS82" s="33"/>
      <c r="AT82" s="33"/>
      <c r="AU82" s="33"/>
      <c r="AV82" s="33"/>
      <c r="AW82" s="33"/>
      <c r="AX82" s="33"/>
      <c r="AY82" s="33"/>
      <c r="AZ82" s="33"/>
      <c r="BA82" s="33"/>
      <c r="BB82" s="33"/>
      <c r="BC82" s="33"/>
      <c r="BD82" s="33"/>
      <c r="BE82" s="33"/>
      <c r="BF82" s="33"/>
      <c r="BG82" s="33"/>
      <c r="BH82" s="33"/>
      <c r="BI82" s="33"/>
      <c r="BJ82" s="33"/>
    </row>
    <row r="83" spans="1:62" s="36" customFormat="1" x14ac:dyDescent="0.3">
      <c r="A83" s="222">
        <v>3231</v>
      </c>
      <c r="B83" s="236" t="s">
        <v>37</v>
      </c>
      <c r="C83" s="224">
        <v>10400</v>
      </c>
      <c r="D83" s="225">
        <f>D84+D86+D88</f>
        <v>2500</v>
      </c>
      <c r="E83" s="233">
        <f>E88</f>
        <v>1000</v>
      </c>
      <c r="F83" s="234">
        <v>0</v>
      </c>
      <c r="G83" s="228">
        <f>G84+G86+G88</f>
        <v>4400</v>
      </c>
      <c r="H83" s="234">
        <v>0</v>
      </c>
      <c r="I83" s="233">
        <f>I88</f>
        <v>1000</v>
      </c>
      <c r="J83" s="234">
        <v>0</v>
      </c>
      <c r="K83" s="234">
        <v>0</v>
      </c>
      <c r="L83" s="234">
        <f>L88</f>
        <v>1500</v>
      </c>
      <c r="M83" s="234">
        <v>0</v>
      </c>
      <c r="N83" s="234">
        <v>0</v>
      </c>
      <c r="O83" s="234">
        <v>0</v>
      </c>
      <c r="P83" s="234">
        <v>0</v>
      </c>
      <c r="Q83" s="224">
        <v>10400</v>
      </c>
      <c r="R83" s="191">
        <v>10400</v>
      </c>
      <c r="S83" s="191">
        <v>5972.5263786581718</v>
      </c>
      <c r="T83" s="229">
        <v>4674.7189594531819</v>
      </c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</row>
    <row r="84" spans="1:62" x14ac:dyDescent="0.3">
      <c r="A84" s="96">
        <v>32311</v>
      </c>
      <c r="B84" s="39" t="s">
        <v>91</v>
      </c>
      <c r="C84" s="127">
        <v>2400</v>
      </c>
      <c r="D84" s="63">
        <v>0</v>
      </c>
      <c r="E84" s="67">
        <v>0</v>
      </c>
      <c r="F84" s="67">
        <v>0</v>
      </c>
      <c r="G84" s="121">
        <v>2400</v>
      </c>
      <c r="H84" s="67">
        <v>0</v>
      </c>
      <c r="I84" s="67">
        <v>0</v>
      </c>
      <c r="J84" s="67">
        <v>0</v>
      </c>
      <c r="K84" s="67">
        <v>0</v>
      </c>
      <c r="L84" s="67">
        <v>0</v>
      </c>
      <c r="M84" s="67">
        <v>0</v>
      </c>
      <c r="N84" s="67">
        <v>0</v>
      </c>
      <c r="O84" s="67">
        <v>0</v>
      </c>
      <c r="P84" s="67">
        <v>0</v>
      </c>
      <c r="Q84" s="127">
        <v>2400</v>
      </c>
      <c r="R84" s="128">
        <v>2400</v>
      </c>
      <c r="S84" s="128">
        <v>2521.7333598778951</v>
      </c>
      <c r="T84" s="176">
        <v>1143.9697391996813</v>
      </c>
    </row>
    <row r="85" spans="1:62" x14ac:dyDescent="0.3">
      <c r="A85" s="96">
        <v>32312</v>
      </c>
      <c r="B85" s="39" t="s">
        <v>137</v>
      </c>
      <c r="C85" s="127">
        <v>0</v>
      </c>
      <c r="D85" s="63">
        <v>0</v>
      </c>
      <c r="E85" s="67">
        <v>0</v>
      </c>
      <c r="F85" s="67">
        <v>0</v>
      </c>
      <c r="G85" s="121">
        <v>0</v>
      </c>
      <c r="H85" s="67">
        <v>0</v>
      </c>
      <c r="I85" s="67">
        <v>0</v>
      </c>
      <c r="J85" s="67">
        <v>0</v>
      </c>
      <c r="K85" s="67">
        <v>0</v>
      </c>
      <c r="L85" s="67">
        <v>0</v>
      </c>
      <c r="M85" s="67">
        <v>0</v>
      </c>
      <c r="N85" s="67">
        <v>0</v>
      </c>
      <c r="O85" s="67">
        <v>0</v>
      </c>
      <c r="P85" s="67">
        <v>0</v>
      </c>
      <c r="Q85" s="127">
        <v>0</v>
      </c>
      <c r="R85" s="128">
        <v>0</v>
      </c>
      <c r="S85" s="128">
        <v>0</v>
      </c>
      <c r="T85" s="176">
        <v>0</v>
      </c>
    </row>
    <row r="86" spans="1:62" x14ac:dyDescent="0.3">
      <c r="A86" s="96">
        <v>32313</v>
      </c>
      <c r="B86" s="39" t="s">
        <v>92</v>
      </c>
      <c r="C86" s="127">
        <v>500</v>
      </c>
      <c r="D86" s="63">
        <v>0</v>
      </c>
      <c r="E86" s="67">
        <v>0</v>
      </c>
      <c r="F86" s="67">
        <v>0</v>
      </c>
      <c r="G86" s="121">
        <v>500</v>
      </c>
      <c r="H86" s="67">
        <v>0</v>
      </c>
      <c r="I86" s="67">
        <v>0</v>
      </c>
      <c r="J86" s="67">
        <v>0</v>
      </c>
      <c r="K86" s="67">
        <v>0</v>
      </c>
      <c r="L86" s="67">
        <v>0</v>
      </c>
      <c r="M86" s="67">
        <v>0</v>
      </c>
      <c r="N86" s="67">
        <v>0</v>
      </c>
      <c r="O86" s="67">
        <v>0</v>
      </c>
      <c r="P86" s="67">
        <v>0</v>
      </c>
      <c r="Q86" s="127">
        <v>500</v>
      </c>
      <c r="R86" s="128">
        <v>500</v>
      </c>
      <c r="S86" s="128">
        <v>929.05965890238235</v>
      </c>
      <c r="T86" s="176">
        <v>185.33811135443625</v>
      </c>
    </row>
    <row r="87" spans="1:62" x14ac:dyDescent="0.3">
      <c r="A87" s="96">
        <v>32314</v>
      </c>
      <c r="B87" s="39" t="s">
        <v>136</v>
      </c>
      <c r="C87" s="127">
        <v>0</v>
      </c>
      <c r="D87" s="63">
        <v>0</v>
      </c>
      <c r="E87" s="67">
        <v>0</v>
      </c>
      <c r="F87" s="67">
        <v>0</v>
      </c>
      <c r="G87" s="121">
        <v>0</v>
      </c>
      <c r="H87" s="67">
        <v>0</v>
      </c>
      <c r="I87" s="67">
        <v>0</v>
      </c>
      <c r="J87" s="67">
        <v>0</v>
      </c>
      <c r="K87" s="67">
        <v>0</v>
      </c>
      <c r="L87" s="67">
        <v>0</v>
      </c>
      <c r="M87" s="67">
        <v>0</v>
      </c>
      <c r="N87" s="67">
        <v>0</v>
      </c>
      <c r="O87" s="67">
        <v>0</v>
      </c>
      <c r="P87" s="67">
        <v>0</v>
      </c>
      <c r="Q87" s="127">
        <v>0</v>
      </c>
      <c r="R87" s="128">
        <v>0</v>
      </c>
      <c r="S87" s="128">
        <v>0</v>
      </c>
      <c r="T87" s="176">
        <v>0</v>
      </c>
    </row>
    <row r="88" spans="1:62" x14ac:dyDescent="0.3">
      <c r="A88" s="96">
        <v>32319</v>
      </c>
      <c r="B88" s="39" t="s">
        <v>135</v>
      </c>
      <c r="C88" s="127">
        <v>7500</v>
      </c>
      <c r="D88" s="63">
        <v>2500</v>
      </c>
      <c r="E88" s="67">
        <v>1000</v>
      </c>
      <c r="F88" s="67">
        <v>0</v>
      </c>
      <c r="G88" s="121">
        <v>1500</v>
      </c>
      <c r="H88" s="67">
        <v>0</v>
      </c>
      <c r="I88" s="67">
        <v>1000</v>
      </c>
      <c r="J88" s="67">
        <v>0</v>
      </c>
      <c r="K88" s="67">
        <v>0</v>
      </c>
      <c r="L88" s="67">
        <v>1500</v>
      </c>
      <c r="M88" s="67">
        <v>0</v>
      </c>
      <c r="N88" s="67">
        <v>0</v>
      </c>
      <c r="O88" s="67">
        <v>0</v>
      </c>
      <c r="P88" s="67">
        <v>0</v>
      </c>
      <c r="Q88" s="127">
        <v>7500</v>
      </c>
      <c r="R88" s="128">
        <v>7500</v>
      </c>
      <c r="S88" s="128">
        <v>2521.7333598778951</v>
      </c>
      <c r="T88" s="176">
        <v>3345.4111088990639</v>
      </c>
    </row>
    <row r="89" spans="1:62" s="36" customFormat="1" x14ac:dyDescent="0.3">
      <c r="A89" s="95">
        <v>3232</v>
      </c>
      <c r="B89" s="37" t="s">
        <v>38</v>
      </c>
      <c r="C89" s="126">
        <v>10300</v>
      </c>
      <c r="D89" s="113">
        <f>D91</f>
        <v>4500</v>
      </c>
      <c r="E89" s="116">
        <f>E90</f>
        <v>0</v>
      </c>
      <c r="F89" s="64">
        <v>0</v>
      </c>
      <c r="G89" s="120">
        <f>G90+G91+G92+G93</f>
        <v>5800</v>
      </c>
      <c r="H89" s="64">
        <v>0</v>
      </c>
      <c r="I89" s="116">
        <v>0</v>
      </c>
      <c r="J89" s="64">
        <v>0</v>
      </c>
      <c r="K89" s="64">
        <v>0</v>
      </c>
      <c r="L89" s="64">
        <v>0</v>
      </c>
      <c r="M89" s="64">
        <v>0</v>
      </c>
      <c r="N89" s="64">
        <v>0</v>
      </c>
      <c r="O89" s="64">
        <v>0</v>
      </c>
      <c r="P89" s="64">
        <v>0</v>
      </c>
      <c r="Q89" s="126">
        <v>10300</v>
      </c>
      <c r="R89" s="192">
        <v>10300</v>
      </c>
      <c r="S89" s="192">
        <v>9821.4878226823275</v>
      </c>
      <c r="T89" s="198">
        <v>3511.138098082155</v>
      </c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  <c r="BF89" s="31"/>
      <c r="BG89" s="31"/>
      <c r="BH89" s="31"/>
      <c r="BI89" s="31"/>
      <c r="BJ89" s="31"/>
    </row>
    <row r="90" spans="1:62" s="31" customFormat="1" x14ac:dyDescent="0.3">
      <c r="A90" s="97">
        <v>32321</v>
      </c>
      <c r="B90" s="41" t="s">
        <v>97</v>
      </c>
      <c r="C90" s="127">
        <v>300</v>
      </c>
      <c r="D90" s="114">
        <v>0</v>
      </c>
      <c r="E90" s="117">
        <v>0</v>
      </c>
      <c r="F90" s="66">
        <v>0</v>
      </c>
      <c r="G90" s="121">
        <v>300</v>
      </c>
      <c r="H90" s="66">
        <v>0</v>
      </c>
      <c r="I90" s="117">
        <v>0</v>
      </c>
      <c r="J90" s="66">
        <v>0</v>
      </c>
      <c r="K90" s="66">
        <v>0</v>
      </c>
      <c r="L90" s="66">
        <v>0</v>
      </c>
      <c r="M90" s="66">
        <v>0</v>
      </c>
      <c r="N90" s="66">
        <v>0</v>
      </c>
      <c r="O90" s="66">
        <v>0</v>
      </c>
      <c r="P90" s="66">
        <v>0</v>
      </c>
      <c r="Q90" s="127">
        <v>300</v>
      </c>
      <c r="R90" s="128">
        <v>300</v>
      </c>
      <c r="S90" s="128">
        <v>1327.2280841462605</v>
      </c>
      <c r="T90" s="176">
        <v>0</v>
      </c>
    </row>
    <row r="91" spans="1:62" s="31" customFormat="1" x14ac:dyDescent="0.3">
      <c r="A91" s="97">
        <v>32322</v>
      </c>
      <c r="B91" s="41" t="s">
        <v>98</v>
      </c>
      <c r="C91" s="127">
        <v>8500</v>
      </c>
      <c r="D91" s="114">
        <v>4500</v>
      </c>
      <c r="E91" s="117">
        <v>0</v>
      </c>
      <c r="F91" s="66">
        <v>0</v>
      </c>
      <c r="G91" s="121">
        <v>4000</v>
      </c>
      <c r="H91" s="66">
        <v>0</v>
      </c>
      <c r="I91" s="117">
        <v>0</v>
      </c>
      <c r="J91" s="66">
        <v>0</v>
      </c>
      <c r="K91" s="66">
        <v>0</v>
      </c>
      <c r="L91" s="66">
        <v>0</v>
      </c>
      <c r="M91" s="66">
        <v>0</v>
      </c>
      <c r="N91" s="66">
        <v>0</v>
      </c>
      <c r="O91" s="66">
        <v>0</v>
      </c>
      <c r="P91" s="66">
        <v>0</v>
      </c>
      <c r="Q91" s="127">
        <v>8500</v>
      </c>
      <c r="R91" s="128">
        <v>8500</v>
      </c>
      <c r="S91" s="128">
        <v>5839.8035702435463</v>
      </c>
      <c r="T91" s="176">
        <v>2471.6623531753935</v>
      </c>
    </row>
    <row r="92" spans="1:62" s="31" customFormat="1" x14ac:dyDescent="0.3">
      <c r="A92" s="97">
        <v>32323</v>
      </c>
      <c r="B92" s="41" t="s">
        <v>99</v>
      </c>
      <c r="C92" s="127">
        <v>500</v>
      </c>
      <c r="D92" s="66">
        <v>0</v>
      </c>
      <c r="E92" s="117">
        <v>0</v>
      </c>
      <c r="F92" s="66">
        <v>0</v>
      </c>
      <c r="G92" s="121">
        <v>500</v>
      </c>
      <c r="H92" s="66">
        <v>0</v>
      </c>
      <c r="I92" s="117">
        <v>0</v>
      </c>
      <c r="J92" s="66">
        <v>0</v>
      </c>
      <c r="K92" s="66">
        <v>0</v>
      </c>
      <c r="L92" s="66">
        <v>0</v>
      </c>
      <c r="M92" s="66">
        <v>0</v>
      </c>
      <c r="N92" s="66">
        <v>0</v>
      </c>
      <c r="O92" s="66">
        <v>0</v>
      </c>
      <c r="P92" s="66">
        <v>0</v>
      </c>
      <c r="Q92" s="127">
        <v>500</v>
      </c>
      <c r="R92" s="128">
        <v>500</v>
      </c>
      <c r="S92" s="128">
        <v>929.05965890238235</v>
      </c>
      <c r="T92" s="176">
        <v>455.49538788240756</v>
      </c>
    </row>
    <row r="93" spans="1:62" s="31" customFormat="1" x14ac:dyDescent="0.3">
      <c r="A93" s="97">
        <v>32329</v>
      </c>
      <c r="B93" s="41" t="s">
        <v>140</v>
      </c>
      <c r="C93" s="127">
        <v>1000</v>
      </c>
      <c r="D93" s="66">
        <v>0</v>
      </c>
      <c r="E93" s="117">
        <v>0</v>
      </c>
      <c r="F93" s="66">
        <v>0</v>
      </c>
      <c r="G93" s="121">
        <v>1000</v>
      </c>
      <c r="H93" s="66">
        <v>0</v>
      </c>
      <c r="I93" s="117">
        <v>0</v>
      </c>
      <c r="J93" s="66">
        <v>0</v>
      </c>
      <c r="K93" s="66">
        <v>0</v>
      </c>
      <c r="L93" s="66">
        <v>0</v>
      </c>
      <c r="M93" s="66">
        <v>0</v>
      </c>
      <c r="N93" s="66">
        <v>0</v>
      </c>
      <c r="O93" s="66">
        <v>0</v>
      </c>
      <c r="P93" s="66">
        <v>0</v>
      </c>
      <c r="Q93" s="127">
        <v>1000</v>
      </c>
      <c r="R93" s="128">
        <v>1000</v>
      </c>
      <c r="S93" s="128">
        <v>1725.3965093901386</v>
      </c>
      <c r="T93" s="176">
        <v>583.98035702435459</v>
      </c>
    </row>
    <row r="94" spans="1:62" s="36" customFormat="1" x14ac:dyDescent="0.3">
      <c r="A94" s="95">
        <v>3233</v>
      </c>
      <c r="B94" s="37" t="s">
        <v>39</v>
      </c>
      <c r="C94" s="126">
        <v>5200</v>
      </c>
      <c r="D94" s="64">
        <f>D95+D97+D98</f>
        <v>0</v>
      </c>
      <c r="E94" s="116">
        <v>0</v>
      </c>
      <c r="F94" s="64">
        <v>0</v>
      </c>
      <c r="G94" s="120">
        <f>G95+G97+G96+G98</f>
        <v>4700</v>
      </c>
      <c r="H94" s="64">
        <v>0</v>
      </c>
      <c r="I94" s="116">
        <v>0</v>
      </c>
      <c r="J94" s="64">
        <v>0</v>
      </c>
      <c r="K94" s="64">
        <v>0</v>
      </c>
      <c r="L94" s="64">
        <f>L97</f>
        <v>500</v>
      </c>
      <c r="M94" s="64">
        <v>0</v>
      </c>
      <c r="N94" s="64">
        <v>0</v>
      </c>
      <c r="O94" s="64">
        <v>0</v>
      </c>
      <c r="P94" s="64">
        <v>0</v>
      </c>
      <c r="Q94" s="126">
        <v>5200</v>
      </c>
      <c r="R94" s="192">
        <v>5200</v>
      </c>
      <c r="S94" s="192">
        <v>7830.6456964629369</v>
      </c>
      <c r="T94" s="198">
        <v>3802.5084610790364</v>
      </c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  <c r="BJ94" s="31"/>
    </row>
    <row r="95" spans="1:62" s="31" customFormat="1" x14ac:dyDescent="0.3">
      <c r="A95" s="97">
        <v>32331</v>
      </c>
      <c r="B95" s="41" t="s">
        <v>151</v>
      </c>
      <c r="C95" s="127">
        <v>1500</v>
      </c>
      <c r="D95" s="66">
        <v>0</v>
      </c>
      <c r="E95" s="117">
        <v>0</v>
      </c>
      <c r="F95" s="66">
        <v>0</v>
      </c>
      <c r="G95" s="122">
        <v>1500</v>
      </c>
      <c r="H95" s="66">
        <v>0</v>
      </c>
      <c r="I95" s="117">
        <v>0</v>
      </c>
      <c r="J95" s="66">
        <v>0</v>
      </c>
      <c r="K95" s="66">
        <v>0</v>
      </c>
      <c r="L95" s="66">
        <v>0</v>
      </c>
      <c r="M95" s="66">
        <v>0</v>
      </c>
      <c r="N95" s="66">
        <v>0</v>
      </c>
      <c r="O95" s="66">
        <v>0</v>
      </c>
      <c r="P95" s="66">
        <v>0</v>
      </c>
      <c r="Q95" s="127">
        <v>1500</v>
      </c>
      <c r="R95" s="128">
        <v>1500</v>
      </c>
      <c r="S95" s="128">
        <v>2389.0105514632687</v>
      </c>
      <c r="T95" s="176">
        <v>1509.7219457163712</v>
      </c>
    </row>
    <row r="96" spans="1:62" x14ac:dyDescent="0.3">
      <c r="A96" s="96">
        <v>32332</v>
      </c>
      <c r="B96" s="39" t="s">
        <v>95</v>
      </c>
      <c r="C96" s="127">
        <v>200</v>
      </c>
      <c r="D96" s="67">
        <v>0</v>
      </c>
      <c r="E96" s="67">
        <v>0</v>
      </c>
      <c r="F96" s="67">
        <v>0</v>
      </c>
      <c r="G96" s="121">
        <v>200</v>
      </c>
      <c r="H96" s="67">
        <v>0</v>
      </c>
      <c r="I96" s="67">
        <v>0</v>
      </c>
      <c r="J96" s="67">
        <v>0</v>
      </c>
      <c r="K96" s="67">
        <v>0</v>
      </c>
      <c r="L96" s="67">
        <v>0</v>
      </c>
      <c r="M96" s="67">
        <v>0</v>
      </c>
      <c r="N96" s="67">
        <v>0</v>
      </c>
      <c r="O96" s="67">
        <v>0</v>
      </c>
      <c r="P96" s="67">
        <v>0</v>
      </c>
      <c r="Q96" s="127">
        <v>200</v>
      </c>
      <c r="R96" s="128">
        <v>200</v>
      </c>
      <c r="S96" s="128">
        <v>663.61404207313024</v>
      </c>
      <c r="T96" s="176">
        <v>51.761895281704156</v>
      </c>
    </row>
    <row r="97" spans="1:62" x14ac:dyDescent="0.3">
      <c r="A97" s="96">
        <v>32334</v>
      </c>
      <c r="B97" s="39" t="s">
        <v>152</v>
      </c>
      <c r="C97" s="127">
        <v>2000</v>
      </c>
      <c r="D97" s="67">
        <v>0</v>
      </c>
      <c r="E97" s="67">
        <v>0</v>
      </c>
      <c r="F97" s="67">
        <v>0</v>
      </c>
      <c r="G97" s="121">
        <v>1500</v>
      </c>
      <c r="H97" s="67">
        <v>0</v>
      </c>
      <c r="I97" s="67">
        <v>0</v>
      </c>
      <c r="J97" s="67">
        <v>0</v>
      </c>
      <c r="K97" s="67">
        <v>0</v>
      </c>
      <c r="L97" s="67">
        <v>500</v>
      </c>
      <c r="M97" s="67">
        <v>0</v>
      </c>
      <c r="N97" s="67">
        <v>0</v>
      </c>
      <c r="O97" s="67">
        <v>0</v>
      </c>
      <c r="P97" s="67">
        <v>0</v>
      </c>
      <c r="Q97" s="127">
        <v>2000</v>
      </c>
      <c r="R97" s="128">
        <v>2000</v>
      </c>
      <c r="S97" s="128">
        <v>2123.5649346340169</v>
      </c>
      <c r="T97" s="176">
        <v>839.47176322250971</v>
      </c>
    </row>
    <row r="98" spans="1:62" x14ac:dyDescent="0.3">
      <c r="A98" s="96">
        <v>32339</v>
      </c>
      <c r="B98" s="39" t="s">
        <v>96</v>
      </c>
      <c r="C98" s="127">
        <v>1500</v>
      </c>
      <c r="D98" s="67">
        <v>0</v>
      </c>
      <c r="E98" s="67">
        <v>0</v>
      </c>
      <c r="F98" s="67">
        <v>0</v>
      </c>
      <c r="G98" s="121">
        <v>1500</v>
      </c>
      <c r="H98" s="67">
        <v>0</v>
      </c>
      <c r="I98" s="67">
        <v>0</v>
      </c>
      <c r="J98" s="67">
        <v>0</v>
      </c>
      <c r="K98" s="67">
        <v>0</v>
      </c>
      <c r="L98" s="67">
        <v>0</v>
      </c>
      <c r="M98" s="67">
        <v>0</v>
      </c>
      <c r="N98" s="67">
        <v>0</v>
      </c>
      <c r="O98" s="67">
        <v>0</v>
      </c>
      <c r="P98" s="67">
        <v>0</v>
      </c>
      <c r="Q98" s="127">
        <v>1500</v>
      </c>
      <c r="R98" s="128">
        <v>1500</v>
      </c>
      <c r="S98" s="128">
        <v>2654.4561682925209</v>
      </c>
      <c r="T98" s="176">
        <v>1401.5528568584512</v>
      </c>
    </row>
    <row r="99" spans="1:62" s="36" customFormat="1" x14ac:dyDescent="0.3">
      <c r="A99" s="95">
        <v>3234</v>
      </c>
      <c r="B99" s="37" t="s">
        <v>40</v>
      </c>
      <c r="C99" s="126">
        <v>8800</v>
      </c>
      <c r="D99" s="64">
        <v>0</v>
      </c>
      <c r="E99" s="116">
        <f>E100+E104</f>
        <v>8000</v>
      </c>
      <c r="F99" s="64">
        <v>0</v>
      </c>
      <c r="G99" s="120">
        <f>G101+G102</f>
        <v>800</v>
      </c>
      <c r="H99" s="64">
        <v>0</v>
      </c>
      <c r="I99" s="116">
        <v>0</v>
      </c>
      <c r="J99" s="64">
        <v>0</v>
      </c>
      <c r="K99" s="64">
        <v>0</v>
      </c>
      <c r="L99" s="64">
        <v>0</v>
      </c>
      <c r="M99" s="64">
        <v>0</v>
      </c>
      <c r="N99" s="64">
        <v>0</v>
      </c>
      <c r="O99" s="64">
        <v>0</v>
      </c>
      <c r="P99" s="64">
        <v>0</v>
      </c>
      <c r="Q99" s="126">
        <v>8800</v>
      </c>
      <c r="R99" s="192">
        <v>8800</v>
      </c>
      <c r="S99" s="192">
        <v>8693.3439511580054</v>
      </c>
      <c r="T99" s="198">
        <v>4326.1065764151563</v>
      </c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  <c r="BF99" s="31"/>
      <c r="BG99" s="31"/>
      <c r="BH99" s="31"/>
      <c r="BI99" s="31"/>
      <c r="BJ99" s="31"/>
    </row>
    <row r="100" spans="1:62" s="31" customFormat="1" x14ac:dyDescent="0.3">
      <c r="A100" s="97">
        <v>32341</v>
      </c>
      <c r="B100" s="41" t="s">
        <v>100</v>
      </c>
      <c r="C100" s="127">
        <v>1500</v>
      </c>
      <c r="D100" s="66">
        <v>0</v>
      </c>
      <c r="E100" s="117">
        <v>1500</v>
      </c>
      <c r="F100" s="66">
        <v>0</v>
      </c>
      <c r="G100" s="121">
        <v>0</v>
      </c>
      <c r="H100" s="66">
        <v>0</v>
      </c>
      <c r="I100" s="117">
        <v>0</v>
      </c>
      <c r="J100" s="66">
        <v>0</v>
      </c>
      <c r="K100" s="66">
        <v>0</v>
      </c>
      <c r="L100" s="66">
        <v>0</v>
      </c>
      <c r="M100" s="66">
        <v>0</v>
      </c>
      <c r="N100" s="66">
        <v>0</v>
      </c>
      <c r="O100" s="66">
        <v>0</v>
      </c>
      <c r="P100" s="66">
        <v>0</v>
      </c>
      <c r="Q100" s="127">
        <v>1500</v>
      </c>
      <c r="R100" s="128">
        <v>1500</v>
      </c>
      <c r="S100" s="128">
        <v>1592.6737009755125</v>
      </c>
      <c r="T100" s="176">
        <v>686.75824540447275</v>
      </c>
    </row>
    <row r="101" spans="1:62" s="31" customFormat="1" x14ac:dyDescent="0.3">
      <c r="A101" s="97">
        <v>32342</v>
      </c>
      <c r="B101" s="41" t="s">
        <v>101</v>
      </c>
      <c r="C101" s="127">
        <v>700</v>
      </c>
      <c r="D101" s="66">
        <v>0</v>
      </c>
      <c r="E101" s="117">
        <v>0</v>
      </c>
      <c r="F101" s="66">
        <v>0</v>
      </c>
      <c r="G101" s="121">
        <v>700</v>
      </c>
      <c r="H101" s="66">
        <v>0</v>
      </c>
      <c r="I101" s="117">
        <v>0</v>
      </c>
      <c r="J101" s="66">
        <v>0</v>
      </c>
      <c r="K101" s="66">
        <v>0</v>
      </c>
      <c r="L101" s="66">
        <v>0</v>
      </c>
      <c r="M101" s="66">
        <v>0</v>
      </c>
      <c r="N101" s="66">
        <v>0</v>
      </c>
      <c r="O101" s="66">
        <v>0</v>
      </c>
      <c r="P101" s="66">
        <v>0</v>
      </c>
      <c r="Q101" s="127">
        <v>700</v>
      </c>
      <c r="R101" s="128">
        <v>700</v>
      </c>
      <c r="S101" s="128">
        <v>331.80702103656512</v>
      </c>
      <c r="T101" s="176">
        <v>140.40878624991706</v>
      </c>
    </row>
    <row r="102" spans="1:62" s="31" customFormat="1" x14ac:dyDescent="0.3">
      <c r="A102" s="97">
        <v>32343</v>
      </c>
      <c r="B102" s="41" t="s">
        <v>102</v>
      </c>
      <c r="C102" s="127">
        <v>100</v>
      </c>
      <c r="D102" s="66">
        <v>0</v>
      </c>
      <c r="E102" s="117">
        <v>0</v>
      </c>
      <c r="F102" s="66">
        <v>0</v>
      </c>
      <c r="G102" s="121">
        <v>100</v>
      </c>
      <c r="H102" s="66">
        <v>0</v>
      </c>
      <c r="I102" s="117">
        <v>0</v>
      </c>
      <c r="J102" s="66">
        <v>0</v>
      </c>
      <c r="K102" s="66">
        <v>0</v>
      </c>
      <c r="L102" s="66">
        <v>0</v>
      </c>
      <c r="M102" s="66">
        <v>0</v>
      </c>
      <c r="N102" s="66">
        <v>0</v>
      </c>
      <c r="O102" s="66">
        <v>0</v>
      </c>
      <c r="P102" s="66">
        <v>0</v>
      </c>
      <c r="Q102" s="127">
        <v>100</v>
      </c>
      <c r="R102" s="128">
        <v>100</v>
      </c>
      <c r="S102" s="128">
        <v>0</v>
      </c>
      <c r="T102" s="176">
        <v>0</v>
      </c>
    </row>
    <row r="103" spans="1:62" s="31" customFormat="1" x14ac:dyDescent="0.3">
      <c r="A103" s="97">
        <v>32344</v>
      </c>
      <c r="B103" s="41" t="s">
        <v>103</v>
      </c>
      <c r="C103" s="127">
        <v>0</v>
      </c>
      <c r="D103" s="66">
        <v>0</v>
      </c>
      <c r="E103" s="117">
        <v>0</v>
      </c>
      <c r="F103" s="66">
        <v>0</v>
      </c>
      <c r="G103" s="121">
        <v>0</v>
      </c>
      <c r="H103" s="66">
        <v>0</v>
      </c>
      <c r="I103" s="117">
        <v>0</v>
      </c>
      <c r="J103" s="66">
        <v>0</v>
      </c>
      <c r="K103" s="66">
        <v>0</v>
      </c>
      <c r="L103" s="66">
        <v>0</v>
      </c>
      <c r="M103" s="66">
        <v>0</v>
      </c>
      <c r="N103" s="66">
        <v>0</v>
      </c>
      <c r="O103" s="66">
        <v>0</v>
      </c>
      <c r="P103" s="66">
        <v>0</v>
      </c>
      <c r="Q103" s="127">
        <v>0</v>
      </c>
      <c r="R103" s="128">
        <v>0</v>
      </c>
      <c r="S103" s="128">
        <v>132.72280841462606</v>
      </c>
      <c r="T103" s="176">
        <v>0</v>
      </c>
    </row>
    <row r="104" spans="1:62" s="31" customFormat="1" x14ac:dyDescent="0.3">
      <c r="A104" s="97">
        <v>32349</v>
      </c>
      <c r="B104" s="41" t="s">
        <v>104</v>
      </c>
      <c r="C104" s="127">
        <v>6500</v>
      </c>
      <c r="D104" s="66">
        <v>0</v>
      </c>
      <c r="E104" s="117">
        <v>6500</v>
      </c>
      <c r="F104" s="66">
        <v>0</v>
      </c>
      <c r="G104" s="121">
        <v>0</v>
      </c>
      <c r="H104" s="66">
        <v>0</v>
      </c>
      <c r="I104" s="117">
        <v>0</v>
      </c>
      <c r="J104" s="66">
        <v>0</v>
      </c>
      <c r="K104" s="66">
        <v>0</v>
      </c>
      <c r="L104" s="66">
        <v>0</v>
      </c>
      <c r="M104" s="66">
        <v>0</v>
      </c>
      <c r="N104" s="66">
        <v>0</v>
      </c>
      <c r="O104" s="66">
        <v>0</v>
      </c>
      <c r="P104" s="66">
        <v>0</v>
      </c>
      <c r="Q104" s="127">
        <v>6500</v>
      </c>
      <c r="R104" s="128">
        <v>6500</v>
      </c>
      <c r="S104" s="128">
        <v>6636.1404207313026</v>
      </c>
      <c r="T104" s="176">
        <v>3498.9395447607667</v>
      </c>
    </row>
    <row r="105" spans="1:62" s="36" customFormat="1" x14ac:dyDescent="0.3">
      <c r="A105" s="95">
        <v>3235</v>
      </c>
      <c r="B105" s="37" t="s">
        <v>61</v>
      </c>
      <c r="C105" s="126">
        <v>21100</v>
      </c>
      <c r="D105" s="64">
        <f>D106+D107</f>
        <v>0</v>
      </c>
      <c r="E105" s="116">
        <f>E106+E107</f>
        <v>10800</v>
      </c>
      <c r="F105" s="64">
        <v>0</v>
      </c>
      <c r="G105" s="120">
        <f>G106+G107+G108+G109+G110</f>
        <v>10300</v>
      </c>
      <c r="H105" s="64">
        <v>0</v>
      </c>
      <c r="I105" s="116">
        <v>0</v>
      </c>
      <c r="J105" s="64">
        <v>0</v>
      </c>
      <c r="K105" s="64">
        <v>0</v>
      </c>
      <c r="L105" s="64">
        <v>0</v>
      </c>
      <c r="M105" s="64">
        <v>0</v>
      </c>
      <c r="N105" s="64">
        <v>0</v>
      </c>
      <c r="O105" s="64">
        <v>0</v>
      </c>
      <c r="P105" s="64">
        <v>0</v>
      </c>
      <c r="Q105" s="126">
        <v>21100</v>
      </c>
      <c r="R105" s="192">
        <v>21100</v>
      </c>
      <c r="S105" s="192">
        <v>14334.063308779612</v>
      </c>
      <c r="T105" s="198">
        <v>10385.063375141017</v>
      </c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  <c r="BF105" s="31"/>
      <c r="BG105" s="31"/>
      <c r="BH105" s="31"/>
      <c r="BI105" s="31"/>
      <c r="BJ105" s="31"/>
    </row>
    <row r="106" spans="1:62" x14ac:dyDescent="0.3">
      <c r="A106" s="96">
        <v>32352</v>
      </c>
      <c r="B106" s="39" t="s">
        <v>105</v>
      </c>
      <c r="C106" s="127">
        <v>12500</v>
      </c>
      <c r="D106" s="67">
        <v>0</v>
      </c>
      <c r="E106" s="67">
        <v>10000</v>
      </c>
      <c r="F106" s="67">
        <v>0</v>
      </c>
      <c r="G106" s="121">
        <v>2500</v>
      </c>
      <c r="H106" s="67">
        <v>0</v>
      </c>
      <c r="I106" s="67">
        <v>0</v>
      </c>
      <c r="J106" s="67">
        <v>0</v>
      </c>
      <c r="K106" s="67">
        <v>0</v>
      </c>
      <c r="L106" s="67">
        <v>0</v>
      </c>
      <c r="M106" s="67">
        <v>0</v>
      </c>
      <c r="N106" s="67">
        <v>0</v>
      </c>
      <c r="O106" s="67">
        <v>0</v>
      </c>
      <c r="P106" s="67">
        <v>0</v>
      </c>
      <c r="Q106" s="127">
        <v>12500</v>
      </c>
      <c r="R106" s="128">
        <v>12500</v>
      </c>
      <c r="S106" s="128">
        <v>5972.5263786581718</v>
      </c>
      <c r="T106" s="176">
        <v>5308.9123365850419</v>
      </c>
    </row>
    <row r="107" spans="1:62" x14ac:dyDescent="0.3">
      <c r="A107" s="96">
        <v>32353</v>
      </c>
      <c r="B107" s="39" t="s">
        <v>106</v>
      </c>
      <c r="C107" s="127">
        <v>3300</v>
      </c>
      <c r="D107" s="67">
        <v>0</v>
      </c>
      <c r="E107" s="67">
        <v>800</v>
      </c>
      <c r="F107" s="67">
        <v>0</v>
      </c>
      <c r="G107" s="121">
        <v>2500</v>
      </c>
      <c r="H107" s="67">
        <v>0</v>
      </c>
      <c r="I107" s="67">
        <v>0</v>
      </c>
      <c r="J107" s="67">
        <v>0</v>
      </c>
      <c r="K107" s="67">
        <v>0</v>
      </c>
      <c r="L107" s="67">
        <v>0</v>
      </c>
      <c r="M107" s="67">
        <v>0</v>
      </c>
      <c r="N107" s="67">
        <v>0</v>
      </c>
      <c r="O107" s="67">
        <v>0</v>
      </c>
      <c r="P107" s="67">
        <v>0</v>
      </c>
      <c r="Q107" s="127">
        <v>3300</v>
      </c>
      <c r="R107" s="128">
        <v>3300</v>
      </c>
      <c r="S107" s="128">
        <v>2123.5649346340169</v>
      </c>
      <c r="T107" s="176">
        <v>2488.5526577742385</v>
      </c>
    </row>
    <row r="108" spans="1:62" x14ac:dyDescent="0.3">
      <c r="A108" s="96">
        <v>32354</v>
      </c>
      <c r="B108" s="39" t="s">
        <v>158</v>
      </c>
      <c r="C108" s="127">
        <v>700</v>
      </c>
      <c r="D108" s="67">
        <v>0</v>
      </c>
      <c r="E108" s="67">
        <v>0</v>
      </c>
      <c r="F108" s="67">
        <v>0</v>
      </c>
      <c r="G108" s="121">
        <v>700</v>
      </c>
      <c r="H108" s="67">
        <v>0</v>
      </c>
      <c r="I108" s="67">
        <v>0</v>
      </c>
      <c r="J108" s="67">
        <v>0</v>
      </c>
      <c r="K108" s="67">
        <v>0</v>
      </c>
      <c r="L108" s="67">
        <v>0</v>
      </c>
      <c r="M108" s="67">
        <v>0</v>
      </c>
      <c r="N108" s="67">
        <v>0</v>
      </c>
      <c r="O108" s="67">
        <v>0</v>
      </c>
      <c r="P108" s="67">
        <v>0</v>
      </c>
      <c r="Q108" s="127">
        <v>700</v>
      </c>
      <c r="R108" s="128">
        <v>700</v>
      </c>
      <c r="S108" s="128">
        <v>663.61404207313024</v>
      </c>
      <c r="T108" s="176">
        <v>0</v>
      </c>
    </row>
    <row r="109" spans="1:62" ht="36.75" x14ac:dyDescent="0.3">
      <c r="A109" s="96">
        <v>32355</v>
      </c>
      <c r="B109" s="40" t="s">
        <v>138</v>
      </c>
      <c r="C109" s="127">
        <v>4000</v>
      </c>
      <c r="D109" s="67">
        <v>0</v>
      </c>
      <c r="E109" s="67">
        <v>0</v>
      </c>
      <c r="F109" s="67">
        <v>0</v>
      </c>
      <c r="G109" s="121">
        <v>4000</v>
      </c>
      <c r="H109" s="67">
        <v>0</v>
      </c>
      <c r="I109" s="67">
        <v>0</v>
      </c>
      <c r="J109" s="67">
        <v>0</v>
      </c>
      <c r="K109" s="67">
        <v>0</v>
      </c>
      <c r="L109" s="67">
        <v>0</v>
      </c>
      <c r="M109" s="67">
        <v>0</v>
      </c>
      <c r="N109" s="67">
        <v>0</v>
      </c>
      <c r="O109" s="67">
        <v>0</v>
      </c>
      <c r="P109" s="67">
        <v>0</v>
      </c>
      <c r="Q109" s="127">
        <v>4000</v>
      </c>
      <c r="R109" s="128">
        <v>4000</v>
      </c>
      <c r="S109" s="128">
        <v>4247.1298692680339</v>
      </c>
      <c r="T109" s="176">
        <v>2056.707147123233</v>
      </c>
    </row>
    <row r="110" spans="1:62" x14ac:dyDescent="0.3">
      <c r="A110" s="96">
        <v>32359</v>
      </c>
      <c r="B110" s="39" t="s">
        <v>134</v>
      </c>
      <c r="C110" s="127">
        <v>600</v>
      </c>
      <c r="D110" s="67">
        <v>0</v>
      </c>
      <c r="E110" s="67">
        <v>0</v>
      </c>
      <c r="F110" s="67">
        <v>0</v>
      </c>
      <c r="G110" s="121">
        <v>600</v>
      </c>
      <c r="H110" s="67">
        <v>0</v>
      </c>
      <c r="I110" s="67">
        <v>0</v>
      </c>
      <c r="J110" s="67">
        <v>0</v>
      </c>
      <c r="K110" s="67">
        <v>0</v>
      </c>
      <c r="L110" s="67">
        <v>0</v>
      </c>
      <c r="M110" s="67">
        <v>0</v>
      </c>
      <c r="N110" s="67">
        <v>0</v>
      </c>
      <c r="O110" s="67">
        <v>0</v>
      </c>
      <c r="P110" s="67">
        <v>0</v>
      </c>
      <c r="Q110" s="127">
        <v>600</v>
      </c>
      <c r="R110" s="128">
        <v>600</v>
      </c>
      <c r="S110" s="128">
        <v>1327.2280841462605</v>
      </c>
      <c r="T110" s="176">
        <v>530.89123365850423</v>
      </c>
    </row>
    <row r="111" spans="1:62" s="36" customFormat="1" x14ac:dyDescent="0.3">
      <c r="A111" s="95">
        <v>3236</v>
      </c>
      <c r="B111" s="37" t="s">
        <v>41</v>
      </c>
      <c r="C111" s="126">
        <v>9500</v>
      </c>
      <c r="D111" s="64">
        <f>D112</f>
        <v>4100</v>
      </c>
      <c r="E111" s="116">
        <v>0</v>
      </c>
      <c r="F111" s="64">
        <v>0</v>
      </c>
      <c r="G111" s="120">
        <f>G112</f>
        <v>3900</v>
      </c>
      <c r="H111" s="64">
        <v>0</v>
      </c>
      <c r="I111" s="116">
        <v>1500</v>
      </c>
      <c r="J111" s="64">
        <v>0</v>
      </c>
      <c r="K111" s="64">
        <v>0</v>
      </c>
      <c r="L111" s="64">
        <v>0</v>
      </c>
      <c r="M111" s="64">
        <v>0</v>
      </c>
      <c r="N111" s="64">
        <v>0</v>
      </c>
      <c r="O111" s="64">
        <v>0</v>
      </c>
      <c r="P111" s="64">
        <v>0</v>
      </c>
      <c r="Q111" s="126">
        <v>9500</v>
      </c>
      <c r="R111" s="192">
        <v>9500</v>
      </c>
      <c r="S111" s="192">
        <v>1990.8421262193906</v>
      </c>
      <c r="T111" s="198">
        <v>2091.0478465724332</v>
      </c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  <c r="AV111" s="31"/>
      <c r="AW111" s="31"/>
      <c r="AX111" s="31"/>
      <c r="AY111" s="31"/>
      <c r="AZ111" s="31"/>
      <c r="BA111" s="31"/>
      <c r="BB111" s="31"/>
      <c r="BC111" s="31"/>
      <c r="BD111" s="31"/>
      <c r="BE111" s="31"/>
      <c r="BF111" s="31"/>
      <c r="BG111" s="31"/>
      <c r="BH111" s="31"/>
      <c r="BI111" s="31"/>
      <c r="BJ111" s="31"/>
    </row>
    <row r="112" spans="1:62" x14ac:dyDescent="0.3">
      <c r="A112" s="96">
        <v>32361</v>
      </c>
      <c r="B112" s="39" t="s">
        <v>107</v>
      </c>
      <c r="C112" s="127">
        <v>8000</v>
      </c>
      <c r="D112" s="67">
        <v>4100</v>
      </c>
      <c r="E112" s="67">
        <v>0</v>
      </c>
      <c r="F112" s="67">
        <v>0</v>
      </c>
      <c r="G112" s="121">
        <v>3900</v>
      </c>
      <c r="H112" s="67">
        <v>0</v>
      </c>
      <c r="I112" s="67">
        <v>0</v>
      </c>
      <c r="J112" s="67">
        <v>0</v>
      </c>
      <c r="K112" s="67">
        <v>0</v>
      </c>
      <c r="L112" s="67">
        <v>0</v>
      </c>
      <c r="M112" s="67">
        <v>0</v>
      </c>
      <c r="N112" s="67">
        <v>0</v>
      </c>
      <c r="O112" s="67">
        <v>0</v>
      </c>
      <c r="P112" s="67">
        <v>0</v>
      </c>
      <c r="Q112" s="127">
        <v>8000</v>
      </c>
      <c r="R112" s="128">
        <v>8000</v>
      </c>
      <c r="S112" s="128">
        <v>1990.8421262193906</v>
      </c>
      <c r="T112" s="176">
        <v>774.43758709934298</v>
      </c>
    </row>
    <row r="113" spans="1:62" x14ac:dyDescent="0.3">
      <c r="A113" s="194">
        <v>32363</v>
      </c>
      <c r="B113" s="195" t="s">
        <v>209</v>
      </c>
      <c r="C113" s="127">
        <v>1500</v>
      </c>
      <c r="D113" s="67">
        <v>0</v>
      </c>
      <c r="E113" s="67">
        <v>0</v>
      </c>
      <c r="F113" s="67">
        <v>0</v>
      </c>
      <c r="G113" s="121">
        <v>0</v>
      </c>
      <c r="H113" s="67">
        <v>0</v>
      </c>
      <c r="I113" s="67">
        <v>1500</v>
      </c>
      <c r="J113" s="67">
        <v>0</v>
      </c>
      <c r="K113" s="67">
        <v>0</v>
      </c>
      <c r="L113" s="67">
        <v>0</v>
      </c>
      <c r="M113" s="67">
        <v>0</v>
      </c>
      <c r="N113" s="67">
        <v>0</v>
      </c>
      <c r="O113" s="67">
        <v>0</v>
      </c>
      <c r="P113" s="67">
        <v>0</v>
      </c>
      <c r="Q113" s="127">
        <v>1500</v>
      </c>
      <c r="R113" s="128">
        <v>1500</v>
      </c>
      <c r="S113" s="128">
        <v>0</v>
      </c>
      <c r="T113" s="176">
        <v>1316.6102594730903</v>
      </c>
    </row>
    <row r="114" spans="1:62" s="36" customFormat="1" x14ac:dyDescent="0.3">
      <c r="A114" s="95">
        <v>3237</v>
      </c>
      <c r="B114" s="37" t="s">
        <v>42</v>
      </c>
      <c r="C114" s="126">
        <v>31200</v>
      </c>
      <c r="D114" s="64">
        <f>D115+D116</f>
        <v>7000</v>
      </c>
      <c r="E114" s="116">
        <v>0</v>
      </c>
      <c r="F114" s="64">
        <v>0</v>
      </c>
      <c r="G114" s="120">
        <f>G115+G116+G117+G119</f>
        <v>10200</v>
      </c>
      <c r="H114" s="64">
        <v>0</v>
      </c>
      <c r="I114" s="118">
        <f>I116</f>
        <v>14000</v>
      </c>
      <c r="J114" s="64">
        <v>0</v>
      </c>
      <c r="K114" s="64">
        <v>0</v>
      </c>
      <c r="L114" s="64">
        <v>0</v>
      </c>
      <c r="M114" s="64">
        <v>0</v>
      </c>
      <c r="N114" s="64">
        <v>0</v>
      </c>
      <c r="O114" s="64">
        <v>0</v>
      </c>
      <c r="P114" s="64">
        <v>0</v>
      </c>
      <c r="Q114" s="126">
        <v>31200</v>
      </c>
      <c r="R114" s="192">
        <v>31200</v>
      </c>
      <c r="S114" s="192">
        <v>37162.386356095296</v>
      </c>
      <c r="T114" s="198">
        <v>15328.848629637003</v>
      </c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  <c r="BF114" s="31"/>
      <c r="BG114" s="31"/>
      <c r="BH114" s="31"/>
      <c r="BI114" s="31"/>
      <c r="BJ114" s="31"/>
    </row>
    <row r="115" spans="1:62" x14ac:dyDescent="0.3">
      <c r="A115" s="96">
        <v>32371</v>
      </c>
      <c r="B115" s="39" t="s">
        <v>108</v>
      </c>
      <c r="C115" s="127">
        <v>0</v>
      </c>
      <c r="D115" s="67">
        <v>0</v>
      </c>
      <c r="E115" s="67">
        <v>0</v>
      </c>
      <c r="F115" s="67">
        <v>0</v>
      </c>
      <c r="G115" s="121">
        <v>0</v>
      </c>
      <c r="H115" s="67">
        <v>0</v>
      </c>
      <c r="I115" s="60">
        <v>0</v>
      </c>
      <c r="J115" s="67">
        <v>0</v>
      </c>
      <c r="K115" s="67">
        <v>0</v>
      </c>
      <c r="L115" s="67">
        <v>0</v>
      </c>
      <c r="M115" s="67">
        <v>0</v>
      </c>
      <c r="N115" s="67">
        <v>0</v>
      </c>
      <c r="O115" s="67">
        <v>0</v>
      </c>
      <c r="P115" s="67">
        <v>0</v>
      </c>
      <c r="Q115" s="127">
        <v>0</v>
      </c>
      <c r="R115" s="128">
        <v>0</v>
      </c>
      <c r="S115" s="128">
        <v>1327.2280841462605</v>
      </c>
      <c r="T115" s="176">
        <v>1816.1417479593865</v>
      </c>
    </row>
    <row r="116" spans="1:62" x14ac:dyDescent="0.3">
      <c r="A116" s="96">
        <v>32372</v>
      </c>
      <c r="B116" s="39" t="s">
        <v>109</v>
      </c>
      <c r="C116" s="127">
        <v>31000</v>
      </c>
      <c r="D116" s="67">
        <v>7000</v>
      </c>
      <c r="E116" s="67">
        <v>0</v>
      </c>
      <c r="F116" s="67">
        <v>0</v>
      </c>
      <c r="G116" s="121">
        <v>10000</v>
      </c>
      <c r="H116" s="67">
        <v>0</v>
      </c>
      <c r="I116" s="60">
        <v>14000</v>
      </c>
      <c r="J116" s="67">
        <v>0</v>
      </c>
      <c r="K116" s="67">
        <v>0</v>
      </c>
      <c r="L116" s="67">
        <v>0</v>
      </c>
      <c r="M116" s="67">
        <v>0</v>
      </c>
      <c r="N116" s="67">
        <v>0</v>
      </c>
      <c r="O116" s="67">
        <v>0</v>
      </c>
      <c r="P116" s="67">
        <v>0</v>
      </c>
      <c r="Q116" s="127">
        <v>31000</v>
      </c>
      <c r="R116" s="128">
        <v>31000</v>
      </c>
      <c r="S116" s="128">
        <v>33180.702103656513</v>
      </c>
      <c r="T116" s="176">
        <v>13512.706881677615</v>
      </c>
    </row>
    <row r="117" spans="1:62" x14ac:dyDescent="0.3">
      <c r="A117" s="96">
        <v>32373</v>
      </c>
      <c r="B117" s="39" t="s">
        <v>110</v>
      </c>
      <c r="C117" s="127">
        <v>200</v>
      </c>
      <c r="D117" s="67">
        <v>0</v>
      </c>
      <c r="E117" s="67">
        <v>0</v>
      </c>
      <c r="F117" s="67">
        <v>0</v>
      </c>
      <c r="G117" s="121">
        <v>200</v>
      </c>
      <c r="H117" s="67">
        <v>0</v>
      </c>
      <c r="I117" s="60">
        <v>0</v>
      </c>
      <c r="J117" s="67">
        <v>0</v>
      </c>
      <c r="K117" s="67">
        <v>0</v>
      </c>
      <c r="L117" s="67">
        <v>0</v>
      </c>
      <c r="M117" s="67">
        <v>0</v>
      </c>
      <c r="N117" s="67">
        <v>0</v>
      </c>
      <c r="O117" s="67">
        <v>0</v>
      </c>
      <c r="P117" s="67">
        <v>0</v>
      </c>
      <c r="Q117" s="127">
        <v>200</v>
      </c>
      <c r="R117" s="128">
        <v>200</v>
      </c>
      <c r="S117" s="128">
        <v>663.61404207313024</v>
      </c>
      <c r="T117" s="176">
        <v>0</v>
      </c>
    </row>
    <row r="118" spans="1:62" x14ac:dyDescent="0.3">
      <c r="A118" s="96">
        <v>32377</v>
      </c>
      <c r="B118" s="39" t="s">
        <v>155</v>
      </c>
      <c r="C118" s="127">
        <v>0</v>
      </c>
      <c r="D118" s="67">
        <v>0</v>
      </c>
      <c r="E118" s="67">
        <v>0</v>
      </c>
      <c r="F118" s="67">
        <v>0</v>
      </c>
      <c r="G118" s="121">
        <v>0</v>
      </c>
      <c r="H118" s="67">
        <v>0</v>
      </c>
      <c r="I118" s="60">
        <v>0</v>
      </c>
      <c r="J118" s="67">
        <v>0</v>
      </c>
      <c r="K118" s="67">
        <v>0</v>
      </c>
      <c r="L118" s="67">
        <v>0</v>
      </c>
      <c r="M118" s="67">
        <v>0</v>
      </c>
      <c r="N118" s="67">
        <v>0</v>
      </c>
      <c r="O118" s="67">
        <v>0</v>
      </c>
      <c r="P118" s="67">
        <v>0</v>
      </c>
      <c r="Q118" s="127">
        <v>0</v>
      </c>
      <c r="R118" s="128">
        <v>0</v>
      </c>
      <c r="S118" s="128">
        <v>663.61404207313024</v>
      </c>
      <c r="T118" s="176">
        <v>0</v>
      </c>
    </row>
    <row r="119" spans="1:62" ht="19.5" customHeight="1" x14ac:dyDescent="0.3">
      <c r="A119" s="96">
        <v>32379</v>
      </c>
      <c r="B119" s="39" t="s">
        <v>111</v>
      </c>
      <c r="C119" s="127">
        <v>0</v>
      </c>
      <c r="D119" s="67">
        <v>0</v>
      </c>
      <c r="E119" s="67">
        <v>0</v>
      </c>
      <c r="F119" s="67">
        <v>0</v>
      </c>
      <c r="G119" s="121">
        <v>0</v>
      </c>
      <c r="H119" s="67">
        <v>0</v>
      </c>
      <c r="I119" s="60">
        <v>0</v>
      </c>
      <c r="J119" s="67">
        <v>0</v>
      </c>
      <c r="K119" s="67">
        <v>0</v>
      </c>
      <c r="L119" s="67">
        <v>0</v>
      </c>
      <c r="M119" s="67">
        <v>0</v>
      </c>
      <c r="N119" s="67">
        <v>0</v>
      </c>
      <c r="O119" s="67">
        <v>0</v>
      </c>
      <c r="P119" s="67">
        <v>0</v>
      </c>
      <c r="Q119" s="127">
        <v>0</v>
      </c>
      <c r="R119" s="128">
        <v>0</v>
      </c>
      <c r="S119" s="128">
        <v>1327.2280841462605</v>
      </c>
      <c r="T119" s="176">
        <v>0</v>
      </c>
    </row>
    <row r="120" spans="1:62" s="36" customFormat="1" x14ac:dyDescent="0.3">
      <c r="A120" s="95">
        <v>3238</v>
      </c>
      <c r="B120" s="37" t="s">
        <v>43</v>
      </c>
      <c r="C120" s="126">
        <v>3500</v>
      </c>
      <c r="D120" s="64">
        <f>D123</f>
        <v>0</v>
      </c>
      <c r="E120" s="116">
        <v>0</v>
      </c>
      <c r="F120" s="64">
        <v>0</v>
      </c>
      <c r="G120" s="120">
        <f>G121+G123</f>
        <v>3500</v>
      </c>
      <c r="H120" s="64">
        <v>0</v>
      </c>
      <c r="I120" s="118">
        <v>0</v>
      </c>
      <c r="J120" s="64">
        <v>0</v>
      </c>
      <c r="K120" s="64">
        <v>0</v>
      </c>
      <c r="L120" s="64">
        <v>0</v>
      </c>
      <c r="M120" s="64">
        <v>0</v>
      </c>
      <c r="N120" s="64">
        <v>0</v>
      </c>
      <c r="O120" s="64">
        <v>0</v>
      </c>
      <c r="P120" s="64">
        <v>0</v>
      </c>
      <c r="Q120" s="126">
        <v>3500</v>
      </c>
      <c r="R120" s="192">
        <v>3500</v>
      </c>
      <c r="S120" s="192">
        <v>4247.1298692680339</v>
      </c>
      <c r="T120" s="198">
        <v>1373.6810670913796</v>
      </c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  <c r="AV120" s="31"/>
      <c r="AW120" s="31"/>
      <c r="AX120" s="31"/>
      <c r="AY120" s="31"/>
      <c r="AZ120" s="31"/>
      <c r="BA120" s="31"/>
      <c r="BB120" s="31"/>
      <c r="BC120" s="31"/>
      <c r="BD120" s="31"/>
      <c r="BE120" s="31"/>
      <c r="BF120" s="31"/>
      <c r="BG120" s="31"/>
      <c r="BH120" s="31"/>
      <c r="BI120" s="31"/>
      <c r="BJ120" s="31"/>
    </row>
    <row r="121" spans="1:62" s="31" customFormat="1" x14ac:dyDescent="0.3">
      <c r="A121" s="97">
        <v>32381</v>
      </c>
      <c r="B121" s="41" t="s">
        <v>133</v>
      </c>
      <c r="C121" s="127">
        <v>0</v>
      </c>
      <c r="D121" s="66">
        <v>0</v>
      </c>
      <c r="E121" s="117">
        <v>0</v>
      </c>
      <c r="F121" s="66">
        <v>0</v>
      </c>
      <c r="G121" s="121">
        <v>0</v>
      </c>
      <c r="H121" s="66">
        <v>0</v>
      </c>
      <c r="I121" s="129">
        <v>0</v>
      </c>
      <c r="J121" s="66">
        <v>0</v>
      </c>
      <c r="K121" s="66">
        <v>0</v>
      </c>
      <c r="L121" s="66">
        <v>0</v>
      </c>
      <c r="M121" s="66">
        <v>0</v>
      </c>
      <c r="N121" s="66">
        <v>0</v>
      </c>
      <c r="O121" s="66">
        <v>0</v>
      </c>
      <c r="P121" s="66">
        <v>0</v>
      </c>
      <c r="Q121" s="127">
        <v>0</v>
      </c>
      <c r="R121" s="128">
        <v>0</v>
      </c>
      <c r="S121" s="128">
        <v>663.61404207313024</v>
      </c>
      <c r="T121" s="176">
        <v>0</v>
      </c>
    </row>
    <row r="122" spans="1:62" x14ac:dyDescent="0.3">
      <c r="A122" s="96">
        <v>32382</v>
      </c>
      <c r="B122" s="39" t="s">
        <v>112</v>
      </c>
      <c r="C122" s="127">
        <v>0</v>
      </c>
      <c r="D122" s="67">
        <v>0</v>
      </c>
      <c r="E122" s="67">
        <v>0</v>
      </c>
      <c r="F122" s="67">
        <v>0</v>
      </c>
      <c r="G122" s="121">
        <v>0</v>
      </c>
      <c r="H122" s="67">
        <v>0</v>
      </c>
      <c r="I122" s="60">
        <v>0</v>
      </c>
      <c r="J122" s="67">
        <v>0</v>
      </c>
      <c r="K122" s="67">
        <v>0</v>
      </c>
      <c r="L122" s="67">
        <v>0</v>
      </c>
      <c r="M122" s="67">
        <v>0</v>
      </c>
      <c r="N122" s="67">
        <v>0</v>
      </c>
      <c r="O122" s="67">
        <v>0</v>
      </c>
      <c r="P122" s="67">
        <v>0</v>
      </c>
      <c r="Q122" s="127">
        <v>0</v>
      </c>
      <c r="R122" s="128">
        <v>0</v>
      </c>
      <c r="S122" s="128">
        <v>663.61404207313024</v>
      </c>
      <c r="T122" s="176">
        <v>0</v>
      </c>
    </row>
    <row r="123" spans="1:62" x14ac:dyDescent="0.3">
      <c r="A123" s="96">
        <v>32389</v>
      </c>
      <c r="B123" s="39" t="s">
        <v>113</v>
      </c>
      <c r="C123" s="127">
        <v>3500</v>
      </c>
      <c r="D123" s="67">
        <v>0</v>
      </c>
      <c r="E123" s="67">
        <v>0</v>
      </c>
      <c r="F123" s="67">
        <v>0</v>
      </c>
      <c r="G123" s="121">
        <v>3500</v>
      </c>
      <c r="H123" s="67">
        <v>0</v>
      </c>
      <c r="I123" s="60">
        <v>0</v>
      </c>
      <c r="J123" s="67">
        <v>0</v>
      </c>
      <c r="K123" s="67">
        <v>0</v>
      </c>
      <c r="L123" s="67">
        <v>0</v>
      </c>
      <c r="M123" s="67">
        <v>0</v>
      </c>
      <c r="N123" s="67">
        <v>0</v>
      </c>
      <c r="O123" s="67">
        <v>0</v>
      </c>
      <c r="P123" s="67">
        <v>0</v>
      </c>
      <c r="Q123" s="127">
        <v>3500</v>
      </c>
      <c r="R123" s="128">
        <v>3500</v>
      </c>
      <c r="S123" s="128">
        <v>2919.9017851217732</v>
      </c>
      <c r="T123" s="176">
        <v>1373.6810670913796</v>
      </c>
    </row>
    <row r="124" spans="1:62" s="36" customFormat="1" x14ac:dyDescent="0.3">
      <c r="A124" s="95">
        <v>3239</v>
      </c>
      <c r="B124" s="37" t="s">
        <v>44</v>
      </c>
      <c r="C124" s="126">
        <v>5700</v>
      </c>
      <c r="D124" s="64">
        <f>D125+D126+D130</f>
        <v>4000</v>
      </c>
      <c r="E124" s="116">
        <v>0</v>
      </c>
      <c r="F124" s="64">
        <v>0</v>
      </c>
      <c r="G124" s="120">
        <f>G125+G126+G127+G128+G130</f>
        <v>1700</v>
      </c>
      <c r="H124" s="64">
        <v>0</v>
      </c>
      <c r="I124" s="116">
        <v>0</v>
      </c>
      <c r="J124" s="64">
        <v>0</v>
      </c>
      <c r="K124" s="64">
        <v>0</v>
      </c>
      <c r="L124" s="64">
        <v>0</v>
      </c>
      <c r="M124" s="64">
        <v>0</v>
      </c>
      <c r="N124" s="64">
        <v>0</v>
      </c>
      <c r="O124" s="64">
        <v>0</v>
      </c>
      <c r="P124" s="64">
        <v>0</v>
      </c>
      <c r="Q124" s="126">
        <v>5700</v>
      </c>
      <c r="R124" s="192">
        <v>5700</v>
      </c>
      <c r="S124" s="192">
        <v>5176.1895281704155</v>
      </c>
      <c r="T124" s="198">
        <v>2305.3155484770059</v>
      </c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  <c r="AV124" s="31"/>
      <c r="AW124" s="31"/>
      <c r="AX124" s="31"/>
      <c r="AY124" s="31"/>
      <c r="AZ124" s="31"/>
      <c r="BA124" s="31"/>
      <c r="BB124" s="31"/>
      <c r="BC124" s="31"/>
      <c r="BD124" s="31"/>
      <c r="BE124" s="31"/>
      <c r="BF124" s="31"/>
      <c r="BG124" s="31"/>
      <c r="BH124" s="31"/>
      <c r="BI124" s="31"/>
      <c r="BJ124" s="31"/>
    </row>
    <row r="125" spans="1:62" ht="36.75" x14ac:dyDescent="0.3">
      <c r="A125" s="96">
        <v>32391</v>
      </c>
      <c r="B125" s="40" t="s">
        <v>121</v>
      </c>
      <c r="C125" s="127">
        <v>2500</v>
      </c>
      <c r="D125" s="67">
        <v>2500</v>
      </c>
      <c r="E125" s="67">
        <v>0</v>
      </c>
      <c r="F125" s="67">
        <v>0</v>
      </c>
      <c r="G125" s="121">
        <v>0</v>
      </c>
      <c r="H125" s="67">
        <v>0</v>
      </c>
      <c r="I125" s="67">
        <v>0</v>
      </c>
      <c r="J125" s="67">
        <v>0</v>
      </c>
      <c r="K125" s="67">
        <v>0</v>
      </c>
      <c r="L125" s="67">
        <v>0</v>
      </c>
      <c r="M125" s="67">
        <v>0</v>
      </c>
      <c r="N125" s="67">
        <v>0</v>
      </c>
      <c r="O125" s="67">
        <v>0</v>
      </c>
      <c r="P125" s="67">
        <v>0</v>
      </c>
      <c r="Q125" s="127">
        <v>2500</v>
      </c>
      <c r="R125" s="128">
        <v>2500</v>
      </c>
      <c r="S125" s="128">
        <v>2521.7333598778951</v>
      </c>
      <c r="T125" s="176">
        <v>1038.4431614572964</v>
      </c>
    </row>
    <row r="126" spans="1:62" x14ac:dyDescent="0.3">
      <c r="A126" s="96">
        <v>32392</v>
      </c>
      <c r="B126" s="39" t="s">
        <v>114</v>
      </c>
      <c r="C126" s="127">
        <v>0</v>
      </c>
      <c r="D126" s="67">
        <v>0</v>
      </c>
      <c r="E126" s="67">
        <v>0</v>
      </c>
      <c r="F126" s="67">
        <v>0</v>
      </c>
      <c r="G126" s="121">
        <v>0</v>
      </c>
      <c r="H126" s="67">
        <v>0</v>
      </c>
      <c r="I126" s="67">
        <v>0</v>
      </c>
      <c r="J126" s="67">
        <v>0</v>
      </c>
      <c r="K126" s="67">
        <v>0</v>
      </c>
      <c r="L126" s="67">
        <v>0</v>
      </c>
      <c r="M126" s="67">
        <v>0</v>
      </c>
      <c r="N126" s="67">
        <v>0</v>
      </c>
      <c r="O126" s="67">
        <v>0</v>
      </c>
      <c r="P126" s="67">
        <v>0</v>
      </c>
      <c r="Q126" s="127">
        <v>0</v>
      </c>
      <c r="R126" s="128">
        <v>0</v>
      </c>
      <c r="S126" s="128">
        <v>663.61404207313024</v>
      </c>
      <c r="T126" s="176">
        <v>464.52982945119118</v>
      </c>
    </row>
    <row r="127" spans="1:62" x14ac:dyDescent="0.3">
      <c r="A127" s="96">
        <v>32394</v>
      </c>
      <c r="B127" s="39" t="s">
        <v>132</v>
      </c>
      <c r="C127" s="127">
        <v>700</v>
      </c>
      <c r="D127" s="67">
        <v>0</v>
      </c>
      <c r="E127" s="67">
        <v>0</v>
      </c>
      <c r="F127" s="67">
        <v>0</v>
      </c>
      <c r="G127" s="121">
        <v>700</v>
      </c>
      <c r="H127" s="67">
        <v>0</v>
      </c>
      <c r="I127" s="67">
        <v>0</v>
      </c>
      <c r="J127" s="67">
        <v>0</v>
      </c>
      <c r="K127" s="67">
        <v>0</v>
      </c>
      <c r="L127" s="67">
        <v>0</v>
      </c>
      <c r="M127" s="67">
        <v>0</v>
      </c>
      <c r="N127" s="67">
        <v>0</v>
      </c>
      <c r="O127" s="67">
        <v>0</v>
      </c>
      <c r="P127" s="67">
        <v>0</v>
      </c>
      <c r="Q127" s="127">
        <v>700</v>
      </c>
      <c r="R127" s="128">
        <v>700</v>
      </c>
      <c r="S127" s="128">
        <v>398.16842524387812</v>
      </c>
      <c r="T127" s="176">
        <v>250.08295175525913</v>
      </c>
    </row>
    <row r="128" spans="1:62" x14ac:dyDescent="0.3">
      <c r="A128" s="96">
        <v>32395</v>
      </c>
      <c r="B128" s="39" t="s">
        <v>139</v>
      </c>
      <c r="C128" s="127">
        <v>0</v>
      </c>
      <c r="D128" s="67">
        <v>0</v>
      </c>
      <c r="E128" s="67">
        <v>0</v>
      </c>
      <c r="F128" s="67">
        <v>0</v>
      </c>
      <c r="G128" s="121">
        <v>0</v>
      </c>
      <c r="H128" s="67">
        <v>0</v>
      </c>
      <c r="I128" s="67">
        <v>0</v>
      </c>
      <c r="J128" s="67">
        <v>0</v>
      </c>
      <c r="K128" s="67">
        <v>0</v>
      </c>
      <c r="L128" s="67">
        <v>0</v>
      </c>
      <c r="M128" s="67">
        <v>0</v>
      </c>
      <c r="N128" s="67">
        <v>0</v>
      </c>
      <c r="O128" s="67">
        <v>0</v>
      </c>
      <c r="P128" s="67">
        <v>0</v>
      </c>
      <c r="Q128" s="127">
        <v>0</v>
      </c>
      <c r="R128" s="128">
        <v>0</v>
      </c>
      <c r="S128" s="128">
        <v>132.72280841462606</v>
      </c>
      <c r="T128" s="176">
        <v>35.835158271949034</v>
      </c>
    </row>
    <row r="129" spans="1:62" x14ac:dyDescent="0.3">
      <c r="A129" s="96">
        <v>32396</v>
      </c>
      <c r="B129" s="39" t="s">
        <v>115</v>
      </c>
      <c r="C129" s="127">
        <v>0</v>
      </c>
      <c r="D129" s="67">
        <v>0</v>
      </c>
      <c r="E129" s="67">
        <v>0</v>
      </c>
      <c r="F129" s="67">
        <v>0</v>
      </c>
      <c r="G129" s="121">
        <v>0</v>
      </c>
      <c r="H129" s="67">
        <v>0</v>
      </c>
      <c r="I129" s="67">
        <v>0</v>
      </c>
      <c r="J129" s="67">
        <v>0</v>
      </c>
      <c r="K129" s="67">
        <v>0</v>
      </c>
      <c r="L129" s="67">
        <v>0</v>
      </c>
      <c r="M129" s="67">
        <v>0</v>
      </c>
      <c r="N129" s="67">
        <v>0</v>
      </c>
      <c r="O129" s="67">
        <v>0</v>
      </c>
      <c r="P129" s="67">
        <v>0</v>
      </c>
      <c r="Q129" s="127">
        <v>0</v>
      </c>
      <c r="R129" s="128">
        <v>0</v>
      </c>
      <c r="S129" s="128">
        <v>132.72280841462606</v>
      </c>
      <c r="T129" s="176">
        <v>0</v>
      </c>
    </row>
    <row r="130" spans="1:62" ht="19.5" thickBot="1" x14ac:dyDescent="0.35">
      <c r="A130" s="94">
        <v>32399</v>
      </c>
      <c r="B130" s="35" t="s">
        <v>116</v>
      </c>
      <c r="C130" s="125">
        <v>2500</v>
      </c>
      <c r="D130" s="68">
        <v>1500</v>
      </c>
      <c r="E130" s="68">
        <v>0</v>
      </c>
      <c r="F130" s="68">
        <v>0</v>
      </c>
      <c r="G130" s="123">
        <v>1000</v>
      </c>
      <c r="H130" s="68">
        <v>0</v>
      </c>
      <c r="I130" s="68">
        <v>0</v>
      </c>
      <c r="J130" s="68">
        <v>0</v>
      </c>
      <c r="K130" s="68">
        <v>0</v>
      </c>
      <c r="L130" s="68">
        <v>0</v>
      </c>
      <c r="M130" s="68">
        <v>0</v>
      </c>
      <c r="N130" s="68">
        <v>0</v>
      </c>
      <c r="O130" s="68">
        <v>0</v>
      </c>
      <c r="P130" s="68">
        <v>0</v>
      </c>
      <c r="Q130" s="125">
        <v>2500</v>
      </c>
      <c r="R130" s="190">
        <v>2500</v>
      </c>
      <c r="S130" s="190">
        <v>1327.2280841462605</v>
      </c>
      <c r="T130" s="217">
        <v>516.42444754130997</v>
      </c>
    </row>
    <row r="131" spans="1:62" s="32" customFormat="1" ht="19.5" thickBot="1" x14ac:dyDescent="0.35">
      <c r="A131" s="69">
        <v>324</v>
      </c>
      <c r="B131" s="70" t="s">
        <v>27</v>
      </c>
      <c r="C131" s="182">
        <v>11470</v>
      </c>
      <c r="D131" s="71">
        <f>D132</f>
        <v>4000</v>
      </c>
      <c r="E131" s="119">
        <f>E132</f>
        <v>1470</v>
      </c>
      <c r="F131" s="71">
        <v>0</v>
      </c>
      <c r="G131" s="183">
        <f>G132</f>
        <v>2000</v>
      </c>
      <c r="H131" s="71">
        <v>0</v>
      </c>
      <c r="I131" s="119">
        <f>I132</f>
        <v>4000</v>
      </c>
      <c r="J131" s="71">
        <v>0</v>
      </c>
      <c r="K131" s="71">
        <v>0</v>
      </c>
      <c r="L131" s="71">
        <v>0</v>
      </c>
      <c r="M131" s="71">
        <v>0</v>
      </c>
      <c r="N131" s="71">
        <v>0</v>
      </c>
      <c r="O131" s="71">
        <v>0</v>
      </c>
      <c r="P131" s="71">
        <v>0</v>
      </c>
      <c r="Q131" s="182">
        <v>11470</v>
      </c>
      <c r="R131" s="182">
        <v>11470</v>
      </c>
      <c r="S131" s="182">
        <v>6237.9719954874245</v>
      </c>
      <c r="T131" s="184">
        <v>6534.9060986130462</v>
      </c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F131" s="33"/>
      <c r="AG131" s="33"/>
      <c r="AH131" s="33"/>
      <c r="AI131" s="33"/>
      <c r="AJ131" s="33"/>
      <c r="AK131" s="33"/>
      <c r="AL131" s="33"/>
      <c r="AM131" s="33"/>
      <c r="AN131" s="33"/>
      <c r="AO131" s="33"/>
      <c r="AP131" s="33"/>
      <c r="AQ131" s="33"/>
      <c r="AR131" s="33"/>
      <c r="AS131" s="33"/>
      <c r="AT131" s="33"/>
      <c r="AU131" s="33"/>
      <c r="AV131" s="33"/>
      <c r="AW131" s="33"/>
      <c r="AX131" s="33"/>
      <c r="AY131" s="33"/>
      <c r="AZ131" s="33"/>
      <c r="BA131" s="33"/>
      <c r="BB131" s="33"/>
      <c r="BC131" s="33"/>
      <c r="BD131" s="33"/>
      <c r="BE131" s="33"/>
      <c r="BF131" s="33"/>
      <c r="BG131" s="33"/>
      <c r="BH131" s="33"/>
      <c r="BI131" s="33"/>
      <c r="BJ131" s="33"/>
    </row>
    <row r="132" spans="1:62" s="36" customFormat="1" x14ac:dyDescent="0.3">
      <c r="A132" s="222">
        <v>3241</v>
      </c>
      <c r="B132" s="236" t="s">
        <v>27</v>
      </c>
      <c r="C132" s="224">
        <v>11470</v>
      </c>
      <c r="D132" s="234">
        <f>D134</f>
        <v>4000</v>
      </c>
      <c r="E132" s="233">
        <f>E134</f>
        <v>1470</v>
      </c>
      <c r="F132" s="234">
        <v>0</v>
      </c>
      <c r="G132" s="228">
        <f>G133+G134</f>
        <v>2000</v>
      </c>
      <c r="H132" s="234">
        <v>0</v>
      </c>
      <c r="I132" s="233">
        <f>I134</f>
        <v>4000</v>
      </c>
      <c r="J132" s="234">
        <v>0</v>
      </c>
      <c r="K132" s="234">
        <v>0</v>
      </c>
      <c r="L132" s="234">
        <v>0</v>
      </c>
      <c r="M132" s="234">
        <v>0</v>
      </c>
      <c r="N132" s="234">
        <v>0</v>
      </c>
      <c r="O132" s="234">
        <v>0</v>
      </c>
      <c r="P132" s="234">
        <v>0</v>
      </c>
      <c r="Q132" s="224">
        <v>11470</v>
      </c>
      <c r="R132" s="191">
        <v>11470</v>
      </c>
      <c r="S132" s="191">
        <v>6237.9719954874245</v>
      </c>
      <c r="T132" s="229">
        <v>6534.9060986130462</v>
      </c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  <c r="AV132" s="31"/>
      <c r="AW132" s="31"/>
      <c r="AX132" s="31"/>
      <c r="AY132" s="31"/>
      <c r="AZ132" s="31"/>
      <c r="BA132" s="31"/>
      <c r="BB132" s="31"/>
      <c r="BC132" s="31"/>
      <c r="BD132" s="31"/>
      <c r="BE132" s="31"/>
      <c r="BF132" s="31"/>
      <c r="BG132" s="31"/>
      <c r="BH132" s="31"/>
      <c r="BI132" s="31"/>
      <c r="BJ132" s="31"/>
    </row>
    <row r="133" spans="1:62" x14ac:dyDescent="0.3">
      <c r="A133" s="96">
        <v>32411</v>
      </c>
      <c r="B133" s="39" t="s">
        <v>122</v>
      </c>
      <c r="C133" s="127">
        <v>500</v>
      </c>
      <c r="D133" s="67">
        <v>0</v>
      </c>
      <c r="E133" s="67">
        <v>0</v>
      </c>
      <c r="F133" s="67">
        <v>0</v>
      </c>
      <c r="G133" s="121">
        <v>500</v>
      </c>
      <c r="H133" s="67">
        <v>0</v>
      </c>
      <c r="I133" s="67">
        <v>0</v>
      </c>
      <c r="J133" s="67">
        <v>0</v>
      </c>
      <c r="K133" s="67">
        <v>0</v>
      </c>
      <c r="L133" s="67">
        <v>0</v>
      </c>
      <c r="M133" s="67">
        <v>0</v>
      </c>
      <c r="N133" s="67">
        <v>0</v>
      </c>
      <c r="O133" s="67">
        <v>0</v>
      </c>
      <c r="P133" s="67">
        <v>0</v>
      </c>
      <c r="Q133" s="127">
        <v>500</v>
      </c>
      <c r="R133" s="128">
        <v>500</v>
      </c>
      <c r="S133" s="128">
        <v>2389.0105514632687</v>
      </c>
      <c r="T133" s="176">
        <v>272.48523458756387</v>
      </c>
    </row>
    <row r="134" spans="1:62" ht="19.5" thickBot="1" x14ac:dyDescent="0.35">
      <c r="A134" s="94">
        <v>32412</v>
      </c>
      <c r="B134" s="35" t="s">
        <v>131</v>
      </c>
      <c r="C134" s="125">
        <v>10970</v>
      </c>
      <c r="D134" s="68">
        <v>4000</v>
      </c>
      <c r="E134" s="68">
        <v>1470</v>
      </c>
      <c r="F134" s="68">
        <v>0</v>
      </c>
      <c r="G134" s="123">
        <v>1500</v>
      </c>
      <c r="H134" s="68">
        <v>0</v>
      </c>
      <c r="I134" s="68">
        <v>4000</v>
      </c>
      <c r="J134" s="68">
        <v>0</v>
      </c>
      <c r="K134" s="68">
        <v>0</v>
      </c>
      <c r="L134" s="68">
        <v>0</v>
      </c>
      <c r="M134" s="68">
        <v>0</v>
      </c>
      <c r="N134" s="68">
        <v>0</v>
      </c>
      <c r="O134" s="68">
        <v>0</v>
      </c>
      <c r="P134" s="68">
        <v>0</v>
      </c>
      <c r="Q134" s="125">
        <v>10970</v>
      </c>
      <c r="R134" s="190">
        <v>10970</v>
      </c>
      <c r="S134" s="190">
        <v>3848.9614440241553</v>
      </c>
      <c r="T134" s="217">
        <v>6262.4208640254819</v>
      </c>
    </row>
    <row r="135" spans="1:62" s="32" customFormat="1" ht="37.5" thickBot="1" x14ac:dyDescent="0.35">
      <c r="A135" s="69">
        <v>329</v>
      </c>
      <c r="B135" s="230" t="s">
        <v>2</v>
      </c>
      <c r="C135" s="182">
        <v>10300</v>
      </c>
      <c r="D135" s="71">
        <f>D136+D140+D142</f>
        <v>0</v>
      </c>
      <c r="E135" s="71">
        <v>0</v>
      </c>
      <c r="F135" s="71">
        <v>0</v>
      </c>
      <c r="G135" s="183">
        <f>G136+G140+G142+G144+G149+G151</f>
        <v>6600</v>
      </c>
      <c r="H135" s="71">
        <v>0</v>
      </c>
      <c r="I135" s="119">
        <f>I144</f>
        <v>3700</v>
      </c>
      <c r="J135" s="71">
        <v>0</v>
      </c>
      <c r="K135" s="71">
        <v>0</v>
      </c>
      <c r="L135" s="71">
        <v>0</v>
      </c>
      <c r="M135" s="71">
        <v>0</v>
      </c>
      <c r="N135" s="71">
        <v>0</v>
      </c>
      <c r="O135" s="71">
        <v>0</v>
      </c>
      <c r="P135" s="71">
        <v>0</v>
      </c>
      <c r="Q135" s="182">
        <v>10300</v>
      </c>
      <c r="R135" s="182">
        <v>10300</v>
      </c>
      <c r="S135" s="182">
        <v>14864.954542438118</v>
      </c>
      <c r="T135" s="184">
        <v>7388.1611254894151</v>
      </c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F135" s="33"/>
      <c r="AG135" s="33"/>
      <c r="AH135" s="33"/>
      <c r="AI135" s="33"/>
      <c r="AJ135" s="33"/>
      <c r="AK135" s="33"/>
      <c r="AL135" s="33"/>
      <c r="AM135" s="33"/>
      <c r="AN135" s="33"/>
      <c r="AO135" s="33"/>
      <c r="AP135" s="33"/>
      <c r="AQ135" s="33"/>
      <c r="AR135" s="33"/>
      <c r="AS135" s="33"/>
      <c r="AT135" s="33"/>
      <c r="AU135" s="33"/>
      <c r="AV135" s="33"/>
      <c r="AW135" s="33"/>
      <c r="AX135" s="33"/>
      <c r="AY135" s="33"/>
      <c r="AZ135" s="33"/>
      <c r="BA135" s="33"/>
      <c r="BB135" s="33"/>
      <c r="BC135" s="33"/>
      <c r="BD135" s="33"/>
      <c r="BE135" s="33"/>
      <c r="BF135" s="33"/>
      <c r="BG135" s="33"/>
      <c r="BH135" s="33"/>
      <c r="BI135" s="33"/>
      <c r="BJ135" s="33"/>
    </row>
    <row r="136" spans="1:62" s="44" customFormat="1" x14ac:dyDescent="0.3">
      <c r="A136" s="222">
        <v>3292</v>
      </c>
      <c r="B136" s="223" t="s">
        <v>54</v>
      </c>
      <c r="C136" s="224">
        <v>2300</v>
      </c>
      <c r="D136" s="234">
        <f>D138</f>
        <v>0</v>
      </c>
      <c r="E136" s="234">
        <v>0</v>
      </c>
      <c r="F136" s="234">
        <v>0</v>
      </c>
      <c r="G136" s="228">
        <f>G137+G138</f>
        <v>2300</v>
      </c>
      <c r="H136" s="234">
        <v>0</v>
      </c>
      <c r="I136" s="233">
        <v>0</v>
      </c>
      <c r="J136" s="234">
        <v>0</v>
      </c>
      <c r="K136" s="234">
        <v>0</v>
      </c>
      <c r="L136" s="234">
        <v>0</v>
      </c>
      <c r="M136" s="234">
        <v>0</v>
      </c>
      <c r="N136" s="234">
        <v>0</v>
      </c>
      <c r="O136" s="234">
        <v>0</v>
      </c>
      <c r="P136" s="234">
        <v>0</v>
      </c>
      <c r="Q136" s="224">
        <v>2300</v>
      </c>
      <c r="R136" s="191">
        <v>2300</v>
      </c>
      <c r="S136" s="191">
        <v>2123.5649346340169</v>
      </c>
      <c r="T136" s="229">
        <v>1181.7771584046718</v>
      </c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F136" s="33"/>
      <c r="AG136" s="33"/>
      <c r="AH136" s="33"/>
      <c r="AI136" s="33"/>
      <c r="AJ136" s="33"/>
      <c r="AK136" s="33"/>
      <c r="AL136" s="33"/>
      <c r="AM136" s="33"/>
      <c r="AN136" s="33"/>
      <c r="AO136" s="33"/>
      <c r="AP136" s="33"/>
      <c r="AQ136" s="33"/>
      <c r="AR136" s="33"/>
      <c r="AS136" s="33"/>
      <c r="AT136" s="33"/>
      <c r="AU136" s="33"/>
      <c r="AV136" s="33"/>
      <c r="AW136" s="33"/>
      <c r="AX136" s="33"/>
      <c r="AY136" s="33"/>
      <c r="AZ136" s="33"/>
      <c r="BA136" s="33"/>
      <c r="BB136" s="33"/>
      <c r="BC136" s="33"/>
      <c r="BD136" s="33"/>
      <c r="BE136" s="33"/>
      <c r="BF136" s="33"/>
      <c r="BG136" s="33"/>
      <c r="BH136" s="33"/>
      <c r="BI136" s="33"/>
      <c r="BJ136" s="33"/>
    </row>
    <row r="137" spans="1:62" s="33" customFormat="1" ht="36.75" x14ac:dyDescent="0.3">
      <c r="A137" s="97">
        <v>32921</v>
      </c>
      <c r="B137" s="42" t="s">
        <v>129</v>
      </c>
      <c r="C137" s="127">
        <v>1100</v>
      </c>
      <c r="D137" s="66">
        <v>0</v>
      </c>
      <c r="E137" s="66">
        <v>0</v>
      </c>
      <c r="F137" s="66">
        <v>0</v>
      </c>
      <c r="G137" s="121">
        <v>1100</v>
      </c>
      <c r="H137" s="66">
        <v>0</v>
      </c>
      <c r="I137" s="117">
        <v>0</v>
      </c>
      <c r="J137" s="66">
        <v>0</v>
      </c>
      <c r="K137" s="66">
        <v>0</v>
      </c>
      <c r="L137" s="66">
        <v>0</v>
      </c>
      <c r="M137" s="66">
        <v>0</v>
      </c>
      <c r="N137" s="66">
        <v>0</v>
      </c>
      <c r="O137" s="66">
        <v>0</v>
      </c>
      <c r="P137" s="66">
        <v>0</v>
      </c>
      <c r="Q137" s="127">
        <v>1100</v>
      </c>
      <c r="R137" s="128">
        <v>1100</v>
      </c>
      <c r="S137" s="128">
        <v>1061.7824673170085</v>
      </c>
      <c r="T137" s="176">
        <v>357.60302608003184</v>
      </c>
    </row>
    <row r="138" spans="1:62" s="33" customFormat="1" ht="36.75" x14ac:dyDescent="0.3">
      <c r="A138" s="97">
        <v>32922</v>
      </c>
      <c r="B138" s="42" t="s">
        <v>130</v>
      </c>
      <c r="C138" s="127">
        <v>1200</v>
      </c>
      <c r="D138" s="66">
        <v>0</v>
      </c>
      <c r="E138" s="66">
        <v>0</v>
      </c>
      <c r="F138" s="66">
        <v>0</v>
      </c>
      <c r="G138" s="121">
        <v>1200</v>
      </c>
      <c r="H138" s="66">
        <v>0</v>
      </c>
      <c r="I138" s="117">
        <v>0</v>
      </c>
      <c r="J138" s="66">
        <v>0</v>
      </c>
      <c r="K138" s="66">
        <v>0</v>
      </c>
      <c r="L138" s="66">
        <v>0</v>
      </c>
      <c r="M138" s="66">
        <v>0</v>
      </c>
      <c r="N138" s="66">
        <v>0</v>
      </c>
      <c r="O138" s="66">
        <v>0</v>
      </c>
      <c r="P138" s="66">
        <v>0</v>
      </c>
      <c r="Q138" s="127">
        <v>1200</v>
      </c>
      <c r="R138" s="128">
        <v>1200</v>
      </c>
      <c r="S138" s="128">
        <v>1061.7824673170085</v>
      </c>
      <c r="T138" s="176">
        <v>824.17413232463991</v>
      </c>
    </row>
    <row r="139" spans="1:62" s="32" customFormat="1" x14ac:dyDescent="0.3">
      <c r="A139" s="103">
        <v>32923</v>
      </c>
      <c r="B139" s="100" t="s">
        <v>117</v>
      </c>
      <c r="C139" s="127">
        <v>0</v>
      </c>
      <c r="D139" s="101">
        <v>0</v>
      </c>
      <c r="E139" s="101">
        <v>0</v>
      </c>
      <c r="F139" s="101">
        <v>0</v>
      </c>
      <c r="G139" s="121">
        <v>0</v>
      </c>
      <c r="H139" s="101">
        <v>0</v>
      </c>
      <c r="I139" s="101">
        <v>0</v>
      </c>
      <c r="J139" s="101">
        <v>0</v>
      </c>
      <c r="K139" s="101">
        <v>0</v>
      </c>
      <c r="L139" s="101">
        <v>0</v>
      </c>
      <c r="M139" s="101">
        <v>0</v>
      </c>
      <c r="N139" s="101">
        <v>0</v>
      </c>
      <c r="O139" s="101">
        <v>0</v>
      </c>
      <c r="P139" s="101">
        <v>0</v>
      </c>
      <c r="Q139" s="127">
        <v>0</v>
      </c>
      <c r="R139" s="128">
        <v>0</v>
      </c>
      <c r="S139" s="128">
        <v>0</v>
      </c>
      <c r="T139" s="176">
        <v>0</v>
      </c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F139" s="33"/>
      <c r="AG139" s="33"/>
      <c r="AH139" s="33"/>
      <c r="AI139" s="33"/>
      <c r="AJ139" s="33"/>
      <c r="AK139" s="33"/>
      <c r="AL139" s="33"/>
      <c r="AM139" s="33"/>
      <c r="AN139" s="33"/>
      <c r="AO139" s="33"/>
      <c r="AP139" s="33"/>
      <c r="AQ139" s="33"/>
      <c r="AR139" s="33"/>
      <c r="AS139" s="33"/>
      <c r="AT139" s="33"/>
      <c r="AU139" s="33"/>
      <c r="AV139" s="33"/>
      <c r="AW139" s="33"/>
      <c r="AX139" s="33"/>
      <c r="AY139" s="33"/>
      <c r="AZ139" s="33"/>
      <c r="BA139" s="33"/>
      <c r="BB139" s="33"/>
      <c r="BC139" s="33"/>
      <c r="BD139" s="33"/>
      <c r="BE139" s="33"/>
      <c r="BF139" s="33"/>
      <c r="BG139" s="33"/>
      <c r="BH139" s="33"/>
      <c r="BI139" s="33"/>
      <c r="BJ139" s="33"/>
    </row>
    <row r="140" spans="1:62" s="44" customFormat="1" x14ac:dyDescent="0.3">
      <c r="A140" s="95">
        <v>3293</v>
      </c>
      <c r="B140" s="38" t="s">
        <v>45</v>
      </c>
      <c r="C140" s="126">
        <v>1500</v>
      </c>
      <c r="D140" s="64">
        <f>D141</f>
        <v>0</v>
      </c>
      <c r="E140" s="64">
        <v>0</v>
      </c>
      <c r="F140" s="64">
        <v>0</v>
      </c>
      <c r="G140" s="120">
        <f>G141</f>
        <v>1500</v>
      </c>
      <c r="H140" s="64">
        <v>0</v>
      </c>
      <c r="I140" s="116">
        <v>0</v>
      </c>
      <c r="J140" s="64">
        <v>0</v>
      </c>
      <c r="K140" s="64">
        <v>0</v>
      </c>
      <c r="L140" s="64">
        <v>0</v>
      </c>
      <c r="M140" s="64">
        <v>0</v>
      </c>
      <c r="N140" s="64">
        <v>0</v>
      </c>
      <c r="O140" s="64">
        <v>0</v>
      </c>
      <c r="P140" s="64">
        <v>0</v>
      </c>
      <c r="Q140" s="126">
        <v>1500</v>
      </c>
      <c r="R140" s="192">
        <v>1500</v>
      </c>
      <c r="S140" s="192">
        <v>2389.0105514632687</v>
      </c>
      <c r="T140" s="198">
        <v>1619.2275532550268</v>
      </c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F140" s="33"/>
      <c r="AG140" s="33"/>
      <c r="AH140" s="33"/>
      <c r="AI140" s="33"/>
      <c r="AJ140" s="33"/>
      <c r="AK140" s="33"/>
      <c r="AL140" s="33"/>
      <c r="AM140" s="33"/>
      <c r="AN140" s="33"/>
      <c r="AO140" s="33"/>
      <c r="AP140" s="33"/>
      <c r="AQ140" s="33"/>
      <c r="AR140" s="33"/>
      <c r="AS140" s="33"/>
      <c r="AT140" s="33"/>
      <c r="AU140" s="33"/>
      <c r="AV140" s="33"/>
      <c r="AW140" s="33"/>
      <c r="AX140" s="33"/>
      <c r="AY140" s="33"/>
      <c r="AZ140" s="33"/>
      <c r="BA140" s="33"/>
      <c r="BB140" s="33"/>
      <c r="BC140" s="33"/>
      <c r="BD140" s="33"/>
      <c r="BE140" s="33"/>
      <c r="BF140" s="33"/>
      <c r="BG140" s="33"/>
      <c r="BH140" s="33"/>
      <c r="BI140" s="33"/>
      <c r="BJ140" s="33"/>
    </row>
    <row r="141" spans="1:62" s="32" customFormat="1" x14ac:dyDescent="0.3">
      <c r="A141" s="96">
        <v>32931</v>
      </c>
      <c r="B141" s="40" t="s">
        <v>45</v>
      </c>
      <c r="C141" s="127">
        <v>1500</v>
      </c>
      <c r="D141" s="67">
        <v>0</v>
      </c>
      <c r="E141" s="67">
        <v>0</v>
      </c>
      <c r="F141" s="67">
        <v>0</v>
      </c>
      <c r="G141" s="121">
        <v>1500</v>
      </c>
      <c r="H141" s="67">
        <v>0</v>
      </c>
      <c r="I141" s="67">
        <v>0</v>
      </c>
      <c r="J141" s="67">
        <v>0</v>
      </c>
      <c r="K141" s="67">
        <v>0</v>
      </c>
      <c r="L141" s="67">
        <v>0</v>
      </c>
      <c r="M141" s="67">
        <v>0</v>
      </c>
      <c r="N141" s="67">
        <v>0</v>
      </c>
      <c r="O141" s="67">
        <v>0</v>
      </c>
      <c r="P141" s="67">
        <v>0</v>
      </c>
      <c r="Q141" s="127">
        <v>1500</v>
      </c>
      <c r="R141" s="128">
        <v>1500</v>
      </c>
      <c r="S141" s="128">
        <v>2389.0105514632687</v>
      </c>
      <c r="T141" s="176">
        <v>1619.2275532550268</v>
      </c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F141" s="33"/>
      <c r="AG141" s="33"/>
      <c r="AH141" s="33"/>
      <c r="AI141" s="33"/>
      <c r="AJ141" s="33"/>
      <c r="AK141" s="33"/>
      <c r="AL141" s="33"/>
      <c r="AM141" s="33"/>
      <c r="AN141" s="33"/>
      <c r="AO141" s="33"/>
      <c r="AP141" s="33"/>
      <c r="AQ141" s="33"/>
      <c r="AR141" s="33"/>
      <c r="AS141" s="33"/>
      <c r="AT141" s="33"/>
      <c r="AU141" s="33"/>
      <c r="AV141" s="33"/>
      <c r="AW141" s="33"/>
      <c r="AX141" s="33"/>
      <c r="AY141" s="33"/>
      <c r="AZ141" s="33"/>
      <c r="BA141" s="33"/>
      <c r="BB141" s="33"/>
      <c r="BC141" s="33"/>
      <c r="BD141" s="33"/>
      <c r="BE141" s="33"/>
      <c r="BF141" s="33"/>
      <c r="BG141" s="33"/>
      <c r="BH141" s="33"/>
      <c r="BI141" s="33"/>
      <c r="BJ141" s="33"/>
    </row>
    <row r="142" spans="1:62" s="36" customFormat="1" x14ac:dyDescent="0.3">
      <c r="A142" s="95">
        <v>3294</v>
      </c>
      <c r="B142" s="38" t="s">
        <v>46</v>
      </c>
      <c r="C142" s="126">
        <v>1500</v>
      </c>
      <c r="D142" s="64">
        <f>D143</f>
        <v>0</v>
      </c>
      <c r="E142" s="64">
        <v>0</v>
      </c>
      <c r="F142" s="64">
        <v>0</v>
      </c>
      <c r="G142" s="120">
        <f>G143</f>
        <v>1500</v>
      </c>
      <c r="H142" s="64">
        <v>0</v>
      </c>
      <c r="I142" s="116">
        <v>0</v>
      </c>
      <c r="J142" s="64">
        <v>0</v>
      </c>
      <c r="K142" s="64">
        <v>0</v>
      </c>
      <c r="L142" s="64">
        <v>0</v>
      </c>
      <c r="M142" s="64">
        <v>0</v>
      </c>
      <c r="N142" s="64">
        <v>0</v>
      </c>
      <c r="O142" s="64">
        <v>0</v>
      </c>
      <c r="P142" s="64">
        <v>0</v>
      </c>
      <c r="Q142" s="126">
        <v>1500</v>
      </c>
      <c r="R142" s="192">
        <v>1500</v>
      </c>
      <c r="S142" s="192">
        <v>1194.5052757316344</v>
      </c>
      <c r="T142" s="198">
        <v>783.06456964629365</v>
      </c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1"/>
      <c r="AL142" s="31"/>
      <c r="AM142" s="31"/>
      <c r="AN142" s="31"/>
      <c r="AO142" s="31"/>
      <c r="AP142" s="31"/>
      <c r="AQ142" s="31"/>
      <c r="AR142" s="31"/>
      <c r="AS142" s="31"/>
      <c r="AT142" s="31"/>
      <c r="AU142" s="31"/>
      <c r="AV142" s="31"/>
      <c r="AW142" s="31"/>
      <c r="AX142" s="31"/>
      <c r="AY142" s="31"/>
      <c r="AZ142" s="31"/>
      <c r="BA142" s="31"/>
      <c r="BB142" s="31"/>
      <c r="BC142" s="31"/>
      <c r="BD142" s="31"/>
      <c r="BE142" s="31"/>
      <c r="BF142" s="31"/>
      <c r="BG142" s="31"/>
      <c r="BH142" s="31"/>
      <c r="BI142" s="31"/>
      <c r="BJ142" s="31"/>
    </row>
    <row r="143" spans="1:62" x14ac:dyDescent="0.3">
      <c r="A143" s="96">
        <v>32941</v>
      </c>
      <c r="B143" s="40" t="s">
        <v>118</v>
      </c>
      <c r="C143" s="127">
        <v>1500</v>
      </c>
      <c r="D143" s="67">
        <v>0</v>
      </c>
      <c r="E143" s="67">
        <v>0</v>
      </c>
      <c r="F143" s="67">
        <v>0</v>
      </c>
      <c r="G143" s="121">
        <v>1500</v>
      </c>
      <c r="H143" s="67">
        <v>0</v>
      </c>
      <c r="I143" s="67">
        <v>0</v>
      </c>
      <c r="J143" s="67">
        <v>0</v>
      </c>
      <c r="K143" s="67">
        <v>0</v>
      </c>
      <c r="L143" s="67">
        <v>0</v>
      </c>
      <c r="M143" s="67">
        <v>0</v>
      </c>
      <c r="N143" s="67">
        <v>0</v>
      </c>
      <c r="O143" s="67">
        <v>0</v>
      </c>
      <c r="P143" s="67">
        <v>0</v>
      </c>
      <c r="Q143" s="127">
        <v>1500</v>
      </c>
      <c r="R143" s="128">
        <v>1500</v>
      </c>
      <c r="S143" s="128">
        <v>1194.5052757316344</v>
      </c>
      <c r="T143" s="176">
        <v>783.06456964629365</v>
      </c>
    </row>
    <row r="144" spans="1:62" s="36" customFormat="1" x14ac:dyDescent="0.3">
      <c r="A144" s="95">
        <v>3295</v>
      </c>
      <c r="B144" s="45" t="s">
        <v>55</v>
      </c>
      <c r="C144" s="126">
        <v>4300</v>
      </c>
      <c r="D144" s="64">
        <v>0</v>
      </c>
      <c r="E144" s="64">
        <v>0</v>
      </c>
      <c r="F144" s="64">
        <v>0</v>
      </c>
      <c r="G144" s="120">
        <f>G146+G148</f>
        <v>600</v>
      </c>
      <c r="H144" s="64">
        <v>0</v>
      </c>
      <c r="I144" s="116">
        <f>I147</f>
        <v>3700</v>
      </c>
      <c r="J144" s="64">
        <v>0</v>
      </c>
      <c r="K144" s="64">
        <v>0</v>
      </c>
      <c r="L144" s="64">
        <v>0</v>
      </c>
      <c r="M144" s="64">
        <v>0</v>
      </c>
      <c r="N144" s="64">
        <v>0</v>
      </c>
      <c r="O144" s="64">
        <v>0</v>
      </c>
      <c r="P144" s="64">
        <v>0</v>
      </c>
      <c r="Q144" s="126">
        <v>4300</v>
      </c>
      <c r="R144" s="192">
        <v>4300</v>
      </c>
      <c r="S144" s="192">
        <v>5176.1895281704155</v>
      </c>
      <c r="T144" s="198">
        <v>1882.5137699913728</v>
      </c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1"/>
      <c r="AL144" s="31"/>
      <c r="AM144" s="31"/>
      <c r="AN144" s="31"/>
      <c r="AO144" s="31"/>
      <c r="AP144" s="31"/>
      <c r="AQ144" s="31"/>
      <c r="AR144" s="31"/>
      <c r="AS144" s="31"/>
      <c r="AT144" s="31"/>
      <c r="AU144" s="31"/>
      <c r="AV144" s="31"/>
      <c r="AW144" s="31"/>
      <c r="AX144" s="31"/>
      <c r="AY144" s="31"/>
      <c r="AZ144" s="31"/>
      <c r="BA144" s="31"/>
      <c r="BB144" s="31"/>
      <c r="BC144" s="31"/>
      <c r="BD144" s="31"/>
      <c r="BE144" s="31"/>
      <c r="BF144" s="31"/>
      <c r="BG144" s="31"/>
      <c r="BH144" s="31"/>
      <c r="BI144" s="31"/>
      <c r="BJ144" s="31"/>
    </row>
    <row r="145" spans="1:62" s="31" customFormat="1" ht="17.25" customHeight="1" x14ac:dyDescent="0.3">
      <c r="A145" s="97">
        <v>32952</v>
      </c>
      <c r="B145" s="102" t="s">
        <v>160</v>
      </c>
      <c r="C145" s="127">
        <v>0</v>
      </c>
      <c r="D145" s="66">
        <v>0</v>
      </c>
      <c r="E145" s="66">
        <v>0</v>
      </c>
      <c r="F145" s="66">
        <v>0</v>
      </c>
      <c r="G145" s="122">
        <v>0</v>
      </c>
      <c r="H145" s="66">
        <v>0</v>
      </c>
      <c r="I145" s="117">
        <v>0</v>
      </c>
      <c r="J145" s="66">
        <v>0</v>
      </c>
      <c r="K145" s="66">
        <v>0</v>
      </c>
      <c r="L145" s="66">
        <v>0</v>
      </c>
      <c r="M145" s="66">
        <v>0</v>
      </c>
      <c r="N145" s="66">
        <v>0</v>
      </c>
      <c r="O145" s="66">
        <v>0</v>
      </c>
      <c r="P145" s="66">
        <v>0</v>
      </c>
      <c r="Q145" s="127">
        <v>0</v>
      </c>
      <c r="R145" s="128">
        <v>0</v>
      </c>
      <c r="S145" s="128">
        <v>1725.3965093901386</v>
      </c>
      <c r="T145" s="176">
        <v>199.08421262193906</v>
      </c>
    </row>
    <row r="146" spans="1:62" s="31" customFormat="1" x14ac:dyDescent="0.3">
      <c r="A146" s="97">
        <v>32953</v>
      </c>
      <c r="B146" s="102" t="s">
        <v>128</v>
      </c>
      <c r="C146" s="127">
        <v>300</v>
      </c>
      <c r="D146" s="66">
        <v>0</v>
      </c>
      <c r="E146" s="66">
        <v>0</v>
      </c>
      <c r="F146" s="66">
        <v>0</v>
      </c>
      <c r="G146" s="121">
        <v>300</v>
      </c>
      <c r="H146" s="66">
        <v>0</v>
      </c>
      <c r="I146" s="117">
        <v>0</v>
      </c>
      <c r="J146" s="66">
        <v>0</v>
      </c>
      <c r="K146" s="66">
        <v>0</v>
      </c>
      <c r="L146" s="66">
        <v>0</v>
      </c>
      <c r="M146" s="66">
        <v>0</v>
      </c>
      <c r="N146" s="66">
        <v>0</v>
      </c>
      <c r="O146" s="66">
        <v>0</v>
      </c>
      <c r="P146" s="66">
        <v>0</v>
      </c>
      <c r="Q146" s="127">
        <v>300</v>
      </c>
      <c r="R146" s="128">
        <v>300</v>
      </c>
      <c r="S146" s="128">
        <v>398.16842524387812</v>
      </c>
      <c r="T146" s="176">
        <v>136.8703961775831</v>
      </c>
    </row>
    <row r="147" spans="1:62" s="31" customFormat="1" x14ac:dyDescent="0.3">
      <c r="A147" s="97">
        <v>32955</v>
      </c>
      <c r="B147" s="102" t="s">
        <v>146</v>
      </c>
      <c r="C147" s="127">
        <v>3700</v>
      </c>
      <c r="D147" s="66">
        <v>0</v>
      </c>
      <c r="E147" s="66">
        <v>0</v>
      </c>
      <c r="F147" s="66">
        <v>0</v>
      </c>
      <c r="G147" s="122">
        <v>0</v>
      </c>
      <c r="H147" s="66">
        <v>0</v>
      </c>
      <c r="I147" s="117">
        <v>3700</v>
      </c>
      <c r="J147" s="66">
        <v>0</v>
      </c>
      <c r="K147" s="66">
        <v>0</v>
      </c>
      <c r="L147" s="66">
        <v>0</v>
      </c>
      <c r="M147" s="66">
        <v>0</v>
      </c>
      <c r="N147" s="66">
        <v>0</v>
      </c>
      <c r="O147" s="66">
        <v>0</v>
      </c>
      <c r="P147" s="66">
        <v>0</v>
      </c>
      <c r="Q147" s="127">
        <v>3700</v>
      </c>
      <c r="R147" s="128">
        <v>3700</v>
      </c>
      <c r="S147" s="128">
        <v>2654.4561682925209</v>
      </c>
      <c r="T147" s="176">
        <v>1493.1315946645429</v>
      </c>
    </row>
    <row r="148" spans="1:62" s="31" customFormat="1" x14ac:dyDescent="0.3">
      <c r="A148" s="97">
        <v>32959</v>
      </c>
      <c r="B148" s="102" t="s">
        <v>161</v>
      </c>
      <c r="C148" s="127">
        <v>300</v>
      </c>
      <c r="D148" s="66">
        <v>0</v>
      </c>
      <c r="E148" s="66">
        <v>0</v>
      </c>
      <c r="F148" s="66">
        <v>0</v>
      </c>
      <c r="G148" s="122">
        <v>300</v>
      </c>
      <c r="H148" s="66">
        <v>0</v>
      </c>
      <c r="I148" s="117">
        <v>0</v>
      </c>
      <c r="J148" s="66">
        <v>0</v>
      </c>
      <c r="K148" s="66">
        <v>0</v>
      </c>
      <c r="L148" s="66">
        <v>0</v>
      </c>
      <c r="M148" s="66">
        <v>0</v>
      </c>
      <c r="N148" s="66">
        <v>0</v>
      </c>
      <c r="O148" s="66">
        <v>0</v>
      </c>
      <c r="P148" s="66">
        <v>0</v>
      </c>
      <c r="Q148" s="127">
        <v>300</v>
      </c>
      <c r="R148" s="128">
        <v>300</v>
      </c>
      <c r="S148" s="128">
        <v>398.16842524387812</v>
      </c>
      <c r="T148" s="176">
        <v>53.427566527307718</v>
      </c>
    </row>
    <row r="149" spans="1:62" s="36" customFormat="1" x14ac:dyDescent="0.3">
      <c r="A149" s="95">
        <v>3296</v>
      </c>
      <c r="B149" s="45" t="s">
        <v>162</v>
      </c>
      <c r="C149" s="126">
        <v>200</v>
      </c>
      <c r="D149" s="64">
        <v>0</v>
      </c>
      <c r="E149" s="64">
        <v>0</v>
      </c>
      <c r="F149" s="64">
        <v>0</v>
      </c>
      <c r="G149" s="120">
        <f>G150</f>
        <v>200</v>
      </c>
      <c r="H149" s="64">
        <v>0</v>
      </c>
      <c r="I149" s="116">
        <v>0</v>
      </c>
      <c r="J149" s="64">
        <v>0</v>
      </c>
      <c r="K149" s="64">
        <v>0</v>
      </c>
      <c r="L149" s="64">
        <v>0</v>
      </c>
      <c r="M149" s="64">
        <v>0</v>
      </c>
      <c r="N149" s="64">
        <v>0</v>
      </c>
      <c r="O149" s="64">
        <v>0</v>
      </c>
      <c r="P149" s="64">
        <v>0</v>
      </c>
      <c r="Q149" s="126">
        <v>200</v>
      </c>
      <c r="R149" s="192">
        <v>200</v>
      </c>
      <c r="S149" s="192">
        <v>2654.4561682925209</v>
      </c>
      <c r="T149" s="198">
        <v>1741.9868604419669</v>
      </c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31"/>
      <c r="AL149" s="31"/>
      <c r="AM149" s="31"/>
      <c r="AN149" s="31"/>
      <c r="AO149" s="31"/>
      <c r="AP149" s="31"/>
      <c r="AQ149" s="31"/>
      <c r="AR149" s="31"/>
      <c r="AS149" s="31"/>
      <c r="AT149" s="31"/>
      <c r="AU149" s="31"/>
      <c r="AV149" s="31"/>
      <c r="AW149" s="31"/>
      <c r="AX149" s="31"/>
      <c r="AY149" s="31"/>
      <c r="AZ149" s="31"/>
      <c r="BA149" s="31"/>
      <c r="BB149" s="31"/>
      <c r="BC149" s="31"/>
      <c r="BD149" s="31"/>
      <c r="BE149" s="31"/>
      <c r="BF149" s="31"/>
      <c r="BG149" s="31"/>
      <c r="BH149" s="31"/>
      <c r="BI149" s="31"/>
      <c r="BJ149" s="31"/>
    </row>
    <row r="150" spans="1:62" s="31" customFormat="1" ht="17.25" customHeight="1" x14ac:dyDescent="0.3">
      <c r="A150" s="97">
        <v>32961</v>
      </c>
      <c r="B150" s="102" t="s">
        <v>162</v>
      </c>
      <c r="C150" s="127">
        <v>200</v>
      </c>
      <c r="D150" s="66">
        <v>0</v>
      </c>
      <c r="E150" s="66">
        <v>0</v>
      </c>
      <c r="F150" s="66">
        <v>0</v>
      </c>
      <c r="G150" s="122">
        <v>200</v>
      </c>
      <c r="H150" s="66">
        <v>0</v>
      </c>
      <c r="I150" s="117">
        <v>0</v>
      </c>
      <c r="J150" s="66">
        <v>0</v>
      </c>
      <c r="K150" s="66">
        <v>0</v>
      </c>
      <c r="L150" s="66">
        <v>0</v>
      </c>
      <c r="M150" s="66">
        <v>0</v>
      </c>
      <c r="N150" s="66">
        <v>0</v>
      </c>
      <c r="O150" s="66">
        <v>0</v>
      </c>
      <c r="P150" s="66">
        <v>0</v>
      </c>
      <c r="Q150" s="127">
        <v>200</v>
      </c>
      <c r="R150" s="128">
        <v>200</v>
      </c>
      <c r="S150" s="128">
        <v>2654.4561682925209</v>
      </c>
      <c r="T150" s="176">
        <v>1741.9868604419669</v>
      </c>
    </row>
    <row r="151" spans="1:62" s="36" customFormat="1" ht="36.75" x14ac:dyDescent="0.3">
      <c r="A151" s="95">
        <v>3299</v>
      </c>
      <c r="B151" s="38" t="s">
        <v>2</v>
      </c>
      <c r="C151" s="126">
        <v>500</v>
      </c>
      <c r="D151" s="64">
        <v>0</v>
      </c>
      <c r="E151" s="64">
        <v>0</v>
      </c>
      <c r="F151" s="64">
        <v>0</v>
      </c>
      <c r="G151" s="120">
        <f>G152+G153</f>
        <v>500</v>
      </c>
      <c r="H151" s="64">
        <v>0</v>
      </c>
      <c r="I151" s="116">
        <v>0</v>
      </c>
      <c r="J151" s="64">
        <v>0</v>
      </c>
      <c r="K151" s="64">
        <v>0</v>
      </c>
      <c r="L151" s="64">
        <v>0</v>
      </c>
      <c r="M151" s="64">
        <v>0</v>
      </c>
      <c r="N151" s="64">
        <v>0</v>
      </c>
      <c r="O151" s="64">
        <v>0</v>
      </c>
      <c r="P151" s="64">
        <v>0</v>
      </c>
      <c r="Q151" s="126">
        <v>500</v>
      </c>
      <c r="R151" s="192">
        <v>500</v>
      </c>
      <c r="S151" s="192">
        <v>1327.2280841462605</v>
      </c>
      <c r="T151" s="198">
        <v>179.59121375008294</v>
      </c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1"/>
      <c r="AL151" s="31"/>
      <c r="AM151" s="31"/>
      <c r="AN151" s="31"/>
      <c r="AO151" s="31"/>
      <c r="AP151" s="31"/>
      <c r="AQ151" s="31"/>
      <c r="AR151" s="31"/>
      <c r="AS151" s="31"/>
      <c r="AT151" s="31"/>
      <c r="AU151" s="31"/>
      <c r="AV151" s="31"/>
      <c r="AW151" s="31"/>
      <c r="AX151" s="31"/>
      <c r="AY151" s="31"/>
      <c r="AZ151" s="31"/>
      <c r="BA151" s="31"/>
      <c r="BB151" s="31"/>
      <c r="BC151" s="31"/>
      <c r="BD151" s="31"/>
      <c r="BE151" s="31"/>
      <c r="BF151" s="31"/>
      <c r="BG151" s="31"/>
      <c r="BH151" s="31"/>
      <c r="BI151" s="31"/>
      <c r="BJ151" s="31"/>
    </row>
    <row r="152" spans="1:62" ht="54.75" x14ac:dyDescent="0.3">
      <c r="A152" s="96">
        <v>32991</v>
      </c>
      <c r="B152" s="40" t="s">
        <v>120</v>
      </c>
      <c r="C152" s="127">
        <v>0</v>
      </c>
      <c r="D152" s="67">
        <v>0</v>
      </c>
      <c r="E152" s="67">
        <v>0</v>
      </c>
      <c r="F152" s="67">
        <v>0</v>
      </c>
      <c r="G152" s="121">
        <v>0</v>
      </c>
      <c r="H152" s="67">
        <v>0</v>
      </c>
      <c r="I152" s="67">
        <v>0</v>
      </c>
      <c r="J152" s="67">
        <v>0</v>
      </c>
      <c r="K152" s="67">
        <v>0</v>
      </c>
      <c r="L152" s="67">
        <v>0</v>
      </c>
      <c r="M152" s="67">
        <v>0</v>
      </c>
      <c r="N152" s="67">
        <v>0</v>
      </c>
      <c r="O152" s="67">
        <v>0</v>
      </c>
      <c r="P152" s="67">
        <v>0</v>
      </c>
      <c r="Q152" s="127">
        <v>0</v>
      </c>
      <c r="R152" s="128">
        <v>0</v>
      </c>
      <c r="S152" s="128">
        <v>663.61404207313024</v>
      </c>
      <c r="T152" s="176">
        <v>0</v>
      </c>
    </row>
    <row r="153" spans="1:62" ht="37.5" thickBot="1" x14ac:dyDescent="0.35">
      <c r="A153" s="94">
        <v>32999</v>
      </c>
      <c r="B153" s="231" t="s">
        <v>2</v>
      </c>
      <c r="C153" s="125">
        <v>500</v>
      </c>
      <c r="D153" s="68">
        <v>0</v>
      </c>
      <c r="E153" s="68">
        <v>0</v>
      </c>
      <c r="F153" s="68">
        <v>0</v>
      </c>
      <c r="G153" s="123">
        <v>500</v>
      </c>
      <c r="H153" s="68">
        <v>0</v>
      </c>
      <c r="I153" s="68">
        <v>0</v>
      </c>
      <c r="J153" s="68">
        <v>0</v>
      </c>
      <c r="K153" s="68">
        <v>0</v>
      </c>
      <c r="L153" s="68">
        <v>0</v>
      </c>
      <c r="M153" s="68">
        <v>0</v>
      </c>
      <c r="N153" s="68">
        <v>0</v>
      </c>
      <c r="O153" s="68">
        <v>0</v>
      </c>
      <c r="P153" s="68">
        <v>0</v>
      </c>
      <c r="Q153" s="125">
        <v>500</v>
      </c>
      <c r="R153" s="190">
        <v>500</v>
      </c>
      <c r="S153" s="190">
        <v>663.61404207313024</v>
      </c>
      <c r="T153" s="217">
        <v>179.59121375008294</v>
      </c>
    </row>
    <row r="154" spans="1:62" ht="19.5" thickBot="1" x14ac:dyDescent="0.35">
      <c r="A154" s="69">
        <v>34</v>
      </c>
      <c r="B154" s="70" t="s">
        <v>5</v>
      </c>
      <c r="C154" s="182">
        <v>1170</v>
      </c>
      <c r="D154" s="71">
        <v>0</v>
      </c>
      <c r="E154" s="71">
        <v>0</v>
      </c>
      <c r="F154" s="71">
        <v>0</v>
      </c>
      <c r="G154" s="183">
        <f>G155</f>
        <v>1170</v>
      </c>
      <c r="H154" s="71">
        <v>0</v>
      </c>
      <c r="I154" s="119">
        <v>0</v>
      </c>
      <c r="J154" s="71">
        <v>0</v>
      </c>
      <c r="K154" s="71">
        <v>0</v>
      </c>
      <c r="L154" s="71">
        <v>0</v>
      </c>
      <c r="M154" s="71">
        <v>0</v>
      </c>
      <c r="N154" s="71">
        <v>0</v>
      </c>
      <c r="O154" s="71">
        <v>0</v>
      </c>
      <c r="P154" s="71">
        <v>0</v>
      </c>
      <c r="Q154" s="182">
        <v>1170</v>
      </c>
      <c r="R154" s="182">
        <v>1170</v>
      </c>
      <c r="S154" s="182">
        <v>3756.0554781339169</v>
      </c>
      <c r="T154" s="184">
        <v>1505.6924812529032</v>
      </c>
    </row>
    <row r="155" spans="1:62" s="32" customFormat="1" ht="19.5" thickBot="1" x14ac:dyDescent="0.35">
      <c r="A155" s="69">
        <v>343</v>
      </c>
      <c r="B155" s="70" t="s">
        <v>6</v>
      </c>
      <c r="C155" s="182">
        <v>1170</v>
      </c>
      <c r="D155" s="71">
        <v>0</v>
      </c>
      <c r="E155" s="71">
        <v>0</v>
      </c>
      <c r="F155" s="71">
        <v>0</v>
      </c>
      <c r="G155" s="183">
        <f>G156+G159+G160</f>
        <v>1170</v>
      </c>
      <c r="H155" s="71">
        <v>0</v>
      </c>
      <c r="I155" s="119">
        <v>0</v>
      </c>
      <c r="J155" s="71">
        <v>0</v>
      </c>
      <c r="K155" s="71">
        <v>0</v>
      </c>
      <c r="L155" s="71">
        <v>0</v>
      </c>
      <c r="M155" s="71">
        <v>0</v>
      </c>
      <c r="N155" s="71">
        <v>0</v>
      </c>
      <c r="O155" s="71">
        <v>0</v>
      </c>
      <c r="P155" s="71">
        <v>0</v>
      </c>
      <c r="Q155" s="182">
        <v>1170</v>
      </c>
      <c r="R155" s="182">
        <v>1170</v>
      </c>
      <c r="S155" s="182">
        <v>3756.0554781339169</v>
      </c>
      <c r="T155" s="184">
        <v>1505.6924812529032</v>
      </c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F155" s="33"/>
      <c r="AG155" s="33"/>
      <c r="AH155" s="33"/>
      <c r="AI155" s="33"/>
      <c r="AJ155" s="33"/>
      <c r="AK155" s="33"/>
      <c r="AL155" s="33"/>
      <c r="AM155" s="33"/>
      <c r="AN155" s="33"/>
      <c r="AO155" s="33"/>
      <c r="AP155" s="33"/>
      <c r="AQ155" s="33"/>
      <c r="AR155" s="33"/>
      <c r="AS155" s="33"/>
      <c r="AT155" s="33"/>
      <c r="AU155" s="33"/>
      <c r="AV155" s="33"/>
      <c r="AW155" s="33"/>
      <c r="AX155" s="33"/>
      <c r="AY155" s="33"/>
      <c r="AZ155" s="33"/>
      <c r="BA155" s="33"/>
      <c r="BB155" s="33"/>
      <c r="BC155" s="33"/>
      <c r="BD155" s="33"/>
      <c r="BE155" s="33"/>
      <c r="BF155" s="33"/>
      <c r="BG155" s="33"/>
      <c r="BH155" s="33"/>
      <c r="BI155" s="33"/>
      <c r="BJ155" s="33"/>
    </row>
    <row r="156" spans="1:62" s="44" customFormat="1" x14ac:dyDescent="0.3">
      <c r="A156" s="222">
        <v>3431</v>
      </c>
      <c r="B156" s="236" t="s">
        <v>47</v>
      </c>
      <c r="C156" s="224">
        <v>1100</v>
      </c>
      <c r="D156" s="234">
        <v>0</v>
      </c>
      <c r="E156" s="234">
        <v>0</v>
      </c>
      <c r="F156" s="234">
        <v>0</v>
      </c>
      <c r="G156" s="228">
        <f>G157+G158</f>
        <v>1100</v>
      </c>
      <c r="H156" s="234">
        <v>0</v>
      </c>
      <c r="I156" s="233">
        <v>0</v>
      </c>
      <c r="J156" s="234">
        <v>0</v>
      </c>
      <c r="K156" s="234">
        <v>0</v>
      </c>
      <c r="L156" s="234">
        <v>0</v>
      </c>
      <c r="M156" s="234">
        <v>0</v>
      </c>
      <c r="N156" s="234">
        <v>0</v>
      </c>
      <c r="O156" s="234">
        <v>0</v>
      </c>
      <c r="P156" s="234">
        <v>0</v>
      </c>
      <c r="Q156" s="224">
        <v>1100</v>
      </c>
      <c r="R156" s="191">
        <v>1100</v>
      </c>
      <c r="S156" s="191">
        <v>1128.1438715243214</v>
      </c>
      <c r="T156" s="229">
        <v>387.04758112681662</v>
      </c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F156" s="33"/>
      <c r="AG156" s="33"/>
      <c r="AH156" s="33"/>
      <c r="AI156" s="33"/>
      <c r="AJ156" s="33"/>
      <c r="AK156" s="33"/>
      <c r="AL156" s="33"/>
      <c r="AM156" s="33"/>
      <c r="AN156" s="33"/>
      <c r="AO156" s="33"/>
      <c r="AP156" s="33"/>
      <c r="AQ156" s="33"/>
      <c r="AR156" s="33"/>
      <c r="AS156" s="33"/>
      <c r="AT156" s="33"/>
      <c r="AU156" s="33"/>
      <c r="AV156" s="33"/>
      <c r="AW156" s="33"/>
      <c r="AX156" s="33"/>
      <c r="AY156" s="33"/>
      <c r="AZ156" s="33"/>
      <c r="BA156" s="33"/>
      <c r="BB156" s="33"/>
      <c r="BC156" s="33"/>
      <c r="BD156" s="33"/>
      <c r="BE156" s="33"/>
      <c r="BF156" s="33"/>
      <c r="BG156" s="33"/>
      <c r="BH156" s="33"/>
      <c r="BI156" s="33"/>
      <c r="BJ156" s="33"/>
    </row>
    <row r="157" spans="1:62" s="32" customFormat="1" x14ac:dyDescent="0.3">
      <c r="A157" s="96">
        <v>34311</v>
      </c>
      <c r="B157" s="39" t="s">
        <v>119</v>
      </c>
      <c r="C157" s="127">
        <v>1000</v>
      </c>
      <c r="D157" s="67">
        <v>0</v>
      </c>
      <c r="E157" s="67">
        <v>0</v>
      </c>
      <c r="F157" s="67">
        <v>0</v>
      </c>
      <c r="G157" s="121">
        <v>1000</v>
      </c>
      <c r="H157" s="67">
        <v>0</v>
      </c>
      <c r="I157" s="67">
        <v>0</v>
      </c>
      <c r="J157" s="67">
        <v>0</v>
      </c>
      <c r="K157" s="67">
        <v>0</v>
      </c>
      <c r="L157" s="67">
        <v>0</v>
      </c>
      <c r="M157" s="67">
        <v>0</v>
      </c>
      <c r="N157" s="67">
        <v>0</v>
      </c>
      <c r="O157" s="67">
        <v>0</v>
      </c>
      <c r="P157" s="67">
        <v>0</v>
      </c>
      <c r="Q157" s="127">
        <v>1000</v>
      </c>
      <c r="R157" s="128">
        <v>1000</v>
      </c>
      <c r="S157" s="128">
        <v>1061.7824673170085</v>
      </c>
      <c r="T157" s="176">
        <v>387.04758112681662</v>
      </c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F157" s="33"/>
      <c r="AG157" s="33"/>
      <c r="AH157" s="33"/>
      <c r="AI157" s="33"/>
      <c r="AJ157" s="33"/>
      <c r="AK157" s="33"/>
      <c r="AL157" s="33"/>
      <c r="AM157" s="33"/>
      <c r="AN157" s="33"/>
      <c r="AO157" s="33"/>
      <c r="AP157" s="33"/>
      <c r="AQ157" s="33"/>
      <c r="AR157" s="33"/>
      <c r="AS157" s="33"/>
      <c r="AT157" s="33"/>
      <c r="AU157" s="33"/>
      <c r="AV157" s="33"/>
      <c r="AW157" s="33"/>
      <c r="AX157" s="33"/>
      <c r="AY157" s="33"/>
      <c r="AZ157" s="33"/>
      <c r="BA157" s="33"/>
      <c r="BB157" s="33"/>
      <c r="BC157" s="33"/>
      <c r="BD157" s="33"/>
      <c r="BE157" s="33"/>
      <c r="BF157" s="33"/>
      <c r="BG157" s="33"/>
      <c r="BH157" s="33"/>
      <c r="BI157" s="33"/>
      <c r="BJ157" s="33"/>
    </row>
    <row r="158" spans="1:62" s="32" customFormat="1" x14ac:dyDescent="0.3">
      <c r="A158" s="96">
        <v>34312</v>
      </c>
      <c r="B158" s="39" t="s">
        <v>153</v>
      </c>
      <c r="C158" s="127">
        <v>100</v>
      </c>
      <c r="D158" s="67">
        <v>0</v>
      </c>
      <c r="E158" s="67">
        <v>0</v>
      </c>
      <c r="F158" s="67">
        <v>0</v>
      </c>
      <c r="G158" s="121">
        <v>100</v>
      </c>
      <c r="H158" s="67">
        <v>0</v>
      </c>
      <c r="I158" s="67">
        <v>0</v>
      </c>
      <c r="J158" s="67">
        <v>0</v>
      </c>
      <c r="K158" s="67">
        <v>0</v>
      </c>
      <c r="L158" s="67">
        <v>0</v>
      </c>
      <c r="M158" s="67">
        <v>0</v>
      </c>
      <c r="N158" s="67">
        <v>0</v>
      </c>
      <c r="O158" s="67">
        <v>0</v>
      </c>
      <c r="P158" s="67">
        <v>0</v>
      </c>
      <c r="Q158" s="127">
        <v>100</v>
      </c>
      <c r="R158" s="128">
        <v>100</v>
      </c>
      <c r="S158" s="128">
        <v>66.361404207313029</v>
      </c>
      <c r="T158" s="176">
        <v>0</v>
      </c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F158" s="33"/>
      <c r="AG158" s="33"/>
      <c r="AH158" s="33"/>
      <c r="AI158" s="33"/>
      <c r="AJ158" s="33"/>
      <c r="AK158" s="33"/>
      <c r="AL158" s="33"/>
      <c r="AM158" s="33"/>
      <c r="AN158" s="33"/>
      <c r="AO158" s="33"/>
      <c r="AP158" s="33"/>
      <c r="AQ158" s="33"/>
      <c r="AR158" s="33"/>
      <c r="AS158" s="33"/>
      <c r="AT158" s="33"/>
      <c r="AU158" s="33"/>
      <c r="AV158" s="33"/>
      <c r="AW158" s="33"/>
      <c r="AX158" s="33"/>
      <c r="AY158" s="33"/>
      <c r="AZ158" s="33"/>
      <c r="BA158" s="33"/>
      <c r="BB158" s="33"/>
      <c r="BC158" s="33"/>
      <c r="BD158" s="33"/>
      <c r="BE158" s="33"/>
      <c r="BF158" s="33"/>
      <c r="BG158" s="33"/>
      <c r="BH158" s="33"/>
      <c r="BI158" s="33"/>
      <c r="BJ158" s="33"/>
    </row>
    <row r="159" spans="1:62" s="44" customFormat="1" x14ac:dyDescent="0.3">
      <c r="A159" s="95">
        <v>3432</v>
      </c>
      <c r="B159" s="37" t="s">
        <v>65</v>
      </c>
      <c r="C159" s="126">
        <v>20</v>
      </c>
      <c r="D159" s="64">
        <v>0</v>
      </c>
      <c r="E159" s="64">
        <v>0</v>
      </c>
      <c r="F159" s="64">
        <v>0</v>
      </c>
      <c r="G159" s="120">
        <v>20</v>
      </c>
      <c r="H159" s="64">
        <v>0</v>
      </c>
      <c r="I159" s="116">
        <v>0</v>
      </c>
      <c r="J159" s="64">
        <v>0</v>
      </c>
      <c r="K159" s="64">
        <v>0</v>
      </c>
      <c r="L159" s="64">
        <v>0</v>
      </c>
      <c r="M159" s="64">
        <v>0</v>
      </c>
      <c r="N159" s="64">
        <v>0</v>
      </c>
      <c r="O159" s="64">
        <v>0</v>
      </c>
      <c r="P159" s="64">
        <v>0</v>
      </c>
      <c r="Q159" s="126">
        <v>20</v>
      </c>
      <c r="R159" s="192">
        <v>20</v>
      </c>
      <c r="S159" s="192">
        <v>66.361404207313029</v>
      </c>
      <c r="T159" s="198">
        <v>3.537062844249784</v>
      </c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F159" s="33"/>
      <c r="AG159" s="33"/>
      <c r="AH159" s="33"/>
      <c r="AI159" s="33"/>
      <c r="AJ159" s="33"/>
      <c r="AK159" s="33"/>
      <c r="AL159" s="33"/>
      <c r="AM159" s="33"/>
      <c r="AN159" s="33"/>
      <c r="AO159" s="33"/>
      <c r="AP159" s="33"/>
      <c r="AQ159" s="33"/>
      <c r="AR159" s="33"/>
      <c r="AS159" s="33"/>
      <c r="AT159" s="33"/>
      <c r="AU159" s="33"/>
      <c r="AV159" s="33"/>
      <c r="AW159" s="33"/>
      <c r="AX159" s="33"/>
      <c r="AY159" s="33"/>
      <c r="AZ159" s="33"/>
      <c r="BA159" s="33"/>
      <c r="BB159" s="33"/>
      <c r="BC159" s="33"/>
      <c r="BD159" s="33"/>
      <c r="BE159" s="33"/>
      <c r="BF159" s="33"/>
      <c r="BG159" s="33"/>
      <c r="BH159" s="33"/>
      <c r="BI159" s="33"/>
      <c r="BJ159" s="33"/>
    </row>
    <row r="160" spans="1:62" s="44" customFormat="1" x14ac:dyDescent="0.3">
      <c r="A160" s="95">
        <v>3433</v>
      </c>
      <c r="B160" s="37" t="s">
        <v>53</v>
      </c>
      <c r="C160" s="126">
        <v>50</v>
      </c>
      <c r="D160" s="64">
        <v>0</v>
      </c>
      <c r="E160" s="64">
        <v>0</v>
      </c>
      <c r="F160" s="64">
        <v>0</v>
      </c>
      <c r="G160" s="120">
        <f>G163</f>
        <v>50</v>
      </c>
      <c r="H160" s="64">
        <v>0</v>
      </c>
      <c r="I160" s="116">
        <v>0</v>
      </c>
      <c r="J160" s="64">
        <v>0</v>
      </c>
      <c r="K160" s="64">
        <v>0</v>
      </c>
      <c r="L160" s="64">
        <v>0</v>
      </c>
      <c r="M160" s="64">
        <v>0</v>
      </c>
      <c r="N160" s="64">
        <v>0</v>
      </c>
      <c r="O160" s="64">
        <v>0</v>
      </c>
      <c r="P160" s="64">
        <v>0</v>
      </c>
      <c r="Q160" s="126">
        <v>50</v>
      </c>
      <c r="R160" s="192">
        <v>50</v>
      </c>
      <c r="S160" s="192">
        <v>2561.5502024022826</v>
      </c>
      <c r="T160" s="198">
        <v>1115.107837281837</v>
      </c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F160" s="33"/>
      <c r="AG160" s="33"/>
      <c r="AH160" s="33"/>
      <c r="AI160" s="33"/>
      <c r="AJ160" s="33"/>
      <c r="AK160" s="33"/>
      <c r="AL160" s="33"/>
      <c r="AM160" s="33"/>
      <c r="AN160" s="33"/>
      <c r="AO160" s="33"/>
      <c r="AP160" s="33"/>
      <c r="AQ160" s="33"/>
      <c r="AR160" s="33"/>
      <c r="AS160" s="33"/>
      <c r="AT160" s="33"/>
      <c r="AU160" s="33"/>
      <c r="AV160" s="33"/>
      <c r="AW160" s="33"/>
      <c r="AX160" s="33"/>
      <c r="AY160" s="33"/>
      <c r="AZ160" s="33"/>
      <c r="BA160" s="33"/>
      <c r="BB160" s="33"/>
      <c r="BC160" s="33"/>
      <c r="BD160" s="33"/>
      <c r="BE160" s="33"/>
      <c r="BF160" s="33"/>
      <c r="BG160" s="33"/>
      <c r="BH160" s="33"/>
      <c r="BI160" s="33"/>
      <c r="BJ160" s="33"/>
    </row>
    <row r="161" spans="1:62" s="33" customFormat="1" x14ac:dyDescent="0.3">
      <c r="A161" s="97">
        <v>34331</v>
      </c>
      <c r="B161" s="41" t="s">
        <v>168</v>
      </c>
      <c r="C161" s="127">
        <v>0</v>
      </c>
      <c r="D161" s="66">
        <v>0</v>
      </c>
      <c r="E161" s="66">
        <v>0</v>
      </c>
      <c r="F161" s="66">
        <v>0</v>
      </c>
      <c r="G161" s="122">
        <v>0</v>
      </c>
      <c r="H161" s="66">
        <v>0</v>
      </c>
      <c r="I161" s="117">
        <v>0</v>
      </c>
      <c r="J161" s="66">
        <v>0</v>
      </c>
      <c r="K161" s="66">
        <v>0</v>
      </c>
      <c r="L161" s="66">
        <v>0</v>
      </c>
      <c r="M161" s="66">
        <v>0</v>
      </c>
      <c r="N161" s="66">
        <v>0</v>
      </c>
      <c r="O161" s="66">
        <v>0</v>
      </c>
      <c r="P161" s="66">
        <v>0</v>
      </c>
      <c r="Q161" s="127">
        <v>0</v>
      </c>
      <c r="R161" s="128">
        <v>0</v>
      </c>
      <c r="S161" s="128">
        <v>132.72280841462606</v>
      </c>
      <c r="T161" s="176">
        <v>22.18196297033645</v>
      </c>
    </row>
    <row r="162" spans="1:62" s="33" customFormat="1" x14ac:dyDescent="0.3">
      <c r="A162" s="97">
        <v>34332</v>
      </c>
      <c r="B162" s="41" t="s">
        <v>169</v>
      </c>
      <c r="C162" s="127">
        <v>0</v>
      </c>
      <c r="D162" s="66">
        <v>0</v>
      </c>
      <c r="E162" s="66">
        <v>0</v>
      </c>
      <c r="F162" s="66">
        <v>0</v>
      </c>
      <c r="G162" s="122">
        <v>0</v>
      </c>
      <c r="H162" s="66">
        <v>0</v>
      </c>
      <c r="I162" s="117">
        <v>0</v>
      </c>
      <c r="J162" s="66">
        <v>0</v>
      </c>
      <c r="K162" s="66">
        <v>0</v>
      </c>
      <c r="L162" s="66">
        <v>0</v>
      </c>
      <c r="M162" s="66">
        <v>0</v>
      </c>
      <c r="N162" s="66">
        <v>0</v>
      </c>
      <c r="O162" s="66">
        <v>0</v>
      </c>
      <c r="P162" s="66">
        <v>0</v>
      </c>
      <c r="Q162" s="127">
        <v>0</v>
      </c>
      <c r="R162" s="128">
        <v>0</v>
      </c>
      <c r="S162" s="128">
        <v>1061.7824673170085</v>
      </c>
      <c r="T162" s="176">
        <v>396.1045855730307</v>
      </c>
    </row>
    <row r="163" spans="1:62" s="31" customFormat="1" ht="19.5" thickBot="1" x14ac:dyDescent="0.35">
      <c r="A163" s="98">
        <v>34339</v>
      </c>
      <c r="B163" s="46" t="s">
        <v>170</v>
      </c>
      <c r="C163" s="125">
        <v>50</v>
      </c>
      <c r="D163" s="65">
        <v>0</v>
      </c>
      <c r="E163" s="65">
        <v>0</v>
      </c>
      <c r="F163" s="65">
        <v>0</v>
      </c>
      <c r="G163" s="186">
        <v>50</v>
      </c>
      <c r="H163" s="65">
        <v>0</v>
      </c>
      <c r="I163" s="115">
        <v>0</v>
      </c>
      <c r="J163" s="65">
        <v>0</v>
      </c>
      <c r="K163" s="65">
        <v>0</v>
      </c>
      <c r="L163" s="65">
        <v>0</v>
      </c>
      <c r="M163" s="65">
        <v>0</v>
      </c>
      <c r="N163" s="65">
        <v>0</v>
      </c>
      <c r="O163" s="65">
        <v>0</v>
      </c>
      <c r="P163" s="65">
        <v>0</v>
      </c>
      <c r="Q163" s="125">
        <v>50</v>
      </c>
      <c r="R163" s="190">
        <v>50</v>
      </c>
      <c r="S163" s="190">
        <v>1367.0449266706482</v>
      </c>
      <c r="T163" s="217">
        <v>696.82128873846966</v>
      </c>
    </row>
    <row r="164" spans="1:62" s="31" customFormat="1" ht="37.5" thickBot="1" x14ac:dyDescent="0.35">
      <c r="A164" s="272">
        <v>372</v>
      </c>
      <c r="B164" s="273" t="s">
        <v>171</v>
      </c>
      <c r="C164" s="274">
        <v>800</v>
      </c>
      <c r="D164" s="275">
        <v>0</v>
      </c>
      <c r="E164" s="275">
        <v>0</v>
      </c>
      <c r="F164" s="275">
        <v>0</v>
      </c>
      <c r="G164" s="276">
        <f>G168</f>
        <v>0</v>
      </c>
      <c r="H164" s="275">
        <v>0</v>
      </c>
      <c r="I164" s="277">
        <f>I165</f>
        <v>800</v>
      </c>
      <c r="J164" s="275">
        <v>0</v>
      </c>
      <c r="K164" s="275">
        <v>0</v>
      </c>
      <c r="L164" s="275">
        <v>0</v>
      </c>
      <c r="M164" s="275">
        <v>0</v>
      </c>
      <c r="N164" s="275">
        <v>0</v>
      </c>
      <c r="O164" s="275">
        <v>0</v>
      </c>
      <c r="P164" s="275">
        <v>0</v>
      </c>
      <c r="Q164" s="274">
        <v>800</v>
      </c>
      <c r="R164" s="274">
        <v>800</v>
      </c>
      <c r="S164" s="274">
        <v>265.44561682925212</v>
      </c>
      <c r="T164" s="278">
        <v>0</v>
      </c>
    </row>
    <row r="165" spans="1:62" s="31" customFormat="1" ht="36.75" x14ac:dyDescent="0.3">
      <c r="A165" s="295">
        <v>3721</v>
      </c>
      <c r="B165" s="296" t="s">
        <v>211</v>
      </c>
      <c r="C165" s="297">
        <v>800</v>
      </c>
      <c r="D165" s="298">
        <v>0</v>
      </c>
      <c r="E165" s="298">
        <v>0</v>
      </c>
      <c r="F165" s="298">
        <v>0</v>
      </c>
      <c r="G165" s="299">
        <v>0</v>
      </c>
      <c r="H165" s="298">
        <v>0</v>
      </c>
      <c r="I165" s="300">
        <f>I166</f>
        <v>800</v>
      </c>
      <c r="J165" s="298">
        <v>0</v>
      </c>
      <c r="K165" s="298">
        <v>0</v>
      </c>
      <c r="L165" s="298">
        <v>0</v>
      </c>
      <c r="M165" s="298">
        <v>0</v>
      </c>
      <c r="N165" s="298">
        <v>0</v>
      </c>
      <c r="O165" s="298">
        <v>0</v>
      </c>
      <c r="P165" s="298">
        <v>0</v>
      </c>
      <c r="Q165" s="297">
        <v>800</v>
      </c>
      <c r="R165" s="297">
        <v>800</v>
      </c>
      <c r="S165" s="297">
        <v>0</v>
      </c>
      <c r="T165" s="301">
        <v>0</v>
      </c>
    </row>
    <row r="166" spans="1:62" s="31" customFormat="1" ht="36.75" x14ac:dyDescent="0.3">
      <c r="A166" s="294">
        <v>37219</v>
      </c>
      <c r="B166" s="42" t="s">
        <v>212</v>
      </c>
      <c r="C166" s="302">
        <v>800</v>
      </c>
      <c r="D166" s="66">
        <v>0</v>
      </c>
      <c r="E166" s="66">
        <v>0</v>
      </c>
      <c r="F166" s="66">
        <v>0</v>
      </c>
      <c r="G166" s="303">
        <v>0</v>
      </c>
      <c r="H166" s="66">
        <v>0</v>
      </c>
      <c r="I166" s="304">
        <v>800</v>
      </c>
      <c r="J166" s="66"/>
      <c r="K166" s="66"/>
      <c r="L166" s="66"/>
      <c r="M166" s="66"/>
      <c r="N166" s="66"/>
      <c r="O166" s="66"/>
      <c r="P166" s="66"/>
      <c r="Q166" s="302">
        <v>800</v>
      </c>
      <c r="R166" s="302">
        <v>800</v>
      </c>
      <c r="S166" s="302">
        <v>0</v>
      </c>
      <c r="T166" s="305">
        <v>0</v>
      </c>
    </row>
    <row r="167" spans="1:62" s="31" customFormat="1" x14ac:dyDescent="0.3">
      <c r="A167" s="95">
        <v>3722</v>
      </c>
      <c r="B167" s="37" t="s">
        <v>172</v>
      </c>
      <c r="C167" s="126">
        <v>0</v>
      </c>
      <c r="D167" s="64">
        <v>0</v>
      </c>
      <c r="E167" s="64">
        <v>0</v>
      </c>
      <c r="F167" s="64">
        <v>0</v>
      </c>
      <c r="G167" s="120">
        <f>G168</f>
        <v>0</v>
      </c>
      <c r="H167" s="64">
        <v>0</v>
      </c>
      <c r="I167" s="116">
        <v>0</v>
      </c>
      <c r="J167" s="64">
        <v>0</v>
      </c>
      <c r="K167" s="64">
        <v>0</v>
      </c>
      <c r="L167" s="64">
        <v>0</v>
      </c>
      <c r="M167" s="64">
        <v>0</v>
      </c>
      <c r="N167" s="64">
        <v>0</v>
      </c>
      <c r="O167" s="64">
        <v>0</v>
      </c>
      <c r="P167" s="64">
        <v>0</v>
      </c>
      <c r="Q167" s="126">
        <v>0</v>
      </c>
      <c r="R167" s="192">
        <v>0</v>
      </c>
      <c r="S167" s="192">
        <v>265.44561682925212</v>
      </c>
      <c r="T167" s="198">
        <v>0</v>
      </c>
    </row>
    <row r="168" spans="1:62" s="31" customFormat="1" ht="37.5" thickBot="1" x14ac:dyDescent="0.35">
      <c r="A168" s="286">
        <v>37229</v>
      </c>
      <c r="B168" s="287" t="s">
        <v>173</v>
      </c>
      <c r="C168" s="288">
        <v>0</v>
      </c>
      <c r="D168" s="289">
        <v>0</v>
      </c>
      <c r="E168" s="289">
        <v>0</v>
      </c>
      <c r="F168" s="289">
        <v>0</v>
      </c>
      <c r="G168" s="290">
        <v>0</v>
      </c>
      <c r="H168" s="289">
        <v>0</v>
      </c>
      <c r="I168" s="291">
        <v>0</v>
      </c>
      <c r="J168" s="289">
        <v>0</v>
      </c>
      <c r="K168" s="289">
        <v>0</v>
      </c>
      <c r="L168" s="289">
        <v>0</v>
      </c>
      <c r="M168" s="289">
        <v>0</v>
      </c>
      <c r="N168" s="289">
        <v>0</v>
      </c>
      <c r="O168" s="289">
        <v>0</v>
      </c>
      <c r="P168" s="289">
        <v>0</v>
      </c>
      <c r="Q168" s="288">
        <v>0</v>
      </c>
      <c r="R168" s="292">
        <v>0</v>
      </c>
      <c r="S168" s="292">
        <v>265.44561682925212</v>
      </c>
      <c r="T168" s="293">
        <v>0</v>
      </c>
    </row>
    <row r="169" spans="1:62" ht="19.5" thickBot="1" x14ac:dyDescent="0.35">
      <c r="A169" s="279"/>
      <c r="B169" s="280"/>
      <c r="C169" s="281">
        <v>3400</v>
      </c>
      <c r="D169" s="282">
        <v>0</v>
      </c>
      <c r="E169" s="283">
        <f>E173</f>
        <v>0</v>
      </c>
      <c r="F169" s="282">
        <v>0</v>
      </c>
      <c r="G169" s="284">
        <f>G170+G173</f>
        <v>700</v>
      </c>
      <c r="H169" s="282">
        <v>0</v>
      </c>
      <c r="I169" s="283">
        <f>I173</f>
        <v>700</v>
      </c>
      <c r="J169" s="282">
        <v>0</v>
      </c>
      <c r="K169" s="282">
        <v>0</v>
      </c>
      <c r="L169" s="282">
        <v>0</v>
      </c>
      <c r="M169" s="282">
        <f>M173</f>
        <v>2000</v>
      </c>
      <c r="N169" s="282">
        <v>0</v>
      </c>
      <c r="O169" s="282">
        <v>0</v>
      </c>
      <c r="P169" s="282">
        <v>0</v>
      </c>
      <c r="Q169" s="281">
        <v>3400</v>
      </c>
      <c r="R169" s="281">
        <v>3400</v>
      </c>
      <c r="S169" s="281">
        <v>20572.035304267036</v>
      </c>
      <c r="T169" s="285">
        <v>12937.78220187139</v>
      </c>
    </row>
    <row r="170" spans="1:62" ht="55.5" thickBot="1" x14ac:dyDescent="0.35">
      <c r="A170" s="69">
        <v>41</v>
      </c>
      <c r="B170" s="181" t="s">
        <v>64</v>
      </c>
      <c r="C170" s="182">
        <v>700</v>
      </c>
      <c r="D170" s="71">
        <v>0</v>
      </c>
      <c r="E170" s="119">
        <v>0</v>
      </c>
      <c r="F170" s="71">
        <v>0</v>
      </c>
      <c r="G170" s="183">
        <f>G171</f>
        <v>700</v>
      </c>
      <c r="H170" s="71">
        <v>0</v>
      </c>
      <c r="I170" s="119">
        <v>0</v>
      </c>
      <c r="J170" s="71">
        <v>0</v>
      </c>
      <c r="K170" s="71">
        <v>0</v>
      </c>
      <c r="L170" s="71">
        <v>0</v>
      </c>
      <c r="M170" s="71">
        <v>0</v>
      </c>
      <c r="N170" s="71">
        <v>0</v>
      </c>
      <c r="O170" s="71">
        <v>0</v>
      </c>
      <c r="P170" s="71">
        <v>0</v>
      </c>
      <c r="Q170" s="182">
        <v>700</v>
      </c>
      <c r="R170" s="182">
        <v>700</v>
      </c>
      <c r="S170" s="182">
        <v>1327.2280841462605</v>
      </c>
      <c r="T170" s="184">
        <v>796.33685048775624</v>
      </c>
    </row>
    <row r="171" spans="1:62" ht="19.5" thickBot="1" x14ac:dyDescent="0.35">
      <c r="A171" s="69">
        <v>412</v>
      </c>
      <c r="B171" s="239" t="s">
        <v>62</v>
      </c>
      <c r="C171" s="182">
        <v>700</v>
      </c>
      <c r="D171" s="71">
        <v>0</v>
      </c>
      <c r="E171" s="119">
        <v>0</v>
      </c>
      <c r="F171" s="71">
        <v>0</v>
      </c>
      <c r="G171" s="240">
        <f>G172</f>
        <v>700</v>
      </c>
      <c r="H171" s="71">
        <v>0</v>
      </c>
      <c r="I171" s="119">
        <v>0</v>
      </c>
      <c r="J171" s="71">
        <v>0</v>
      </c>
      <c r="K171" s="71">
        <v>0</v>
      </c>
      <c r="L171" s="71">
        <v>0</v>
      </c>
      <c r="M171" s="71">
        <v>0</v>
      </c>
      <c r="N171" s="71">
        <v>0</v>
      </c>
      <c r="O171" s="71">
        <v>0</v>
      </c>
      <c r="P171" s="71">
        <v>0</v>
      </c>
      <c r="Q171" s="182">
        <v>700</v>
      </c>
      <c r="R171" s="182">
        <v>700</v>
      </c>
      <c r="S171" s="182">
        <v>1327.2280841462605</v>
      </c>
      <c r="T171" s="184">
        <v>796.33685048775624</v>
      </c>
    </row>
    <row r="172" spans="1:62" ht="19.5" thickBot="1" x14ac:dyDescent="0.35">
      <c r="A172" s="241">
        <v>4124</v>
      </c>
      <c r="B172" s="242" t="s">
        <v>63</v>
      </c>
      <c r="C172" s="243">
        <v>700</v>
      </c>
      <c r="D172" s="245">
        <v>0</v>
      </c>
      <c r="E172" s="244">
        <v>0</v>
      </c>
      <c r="F172" s="245">
        <v>0</v>
      </c>
      <c r="G172" s="246">
        <v>700</v>
      </c>
      <c r="H172" s="245">
        <v>0</v>
      </c>
      <c r="I172" s="244">
        <v>0</v>
      </c>
      <c r="J172" s="245">
        <v>0</v>
      </c>
      <c r="K172" s="245">
        <v>0</v>
      </c>
      <c r="L172" s="245">
        <v>0</v>
      </c>
      <c r="M172" s="245">
        <v>0</v>
      </c>
      <c r="N172" s="245">
        <v>0</v>
      </c>
      <c r="O172" s="245">
        <v>0</v>
      </c>
      <c r="P172" s="245">
        <v>0</v>
      </c>
      <c r="Q172" s="243">
        <v>700</v>
      </c>
      <c r="R172" s="193">
        <v>700</v>
      </c>
      <c r="S172" s="193">
        <v>1327.2280841462605</v>
      </c>
      <c r="T172" s="247">
        <v>796.33685048775624</v>
      </c>
    </row>
    <row r="173" spans="1:62" ht="55.5" thickBot="1" x14ac:dyDescent="0.35">
      <c r="A173" s="69">
        <v>42</v>
      </c>
      <c r="B173" s="248" t="s">
        <v>21</v>
      </c>
      <c r="C173" s="182">
        <v>2700</v>
      </c>
      <c r="D173" s="71">
        <v>0</v>
      </c>
      <c r="E173" s="119">
        <f>E174</f>
        <v>0</v>
      </c>
      <c r="F173" s="71">
        <v>0</v>
      </c>
      <c r="G173" s="183">
        <f>G174+G191</f>
        <v>0</v>
      </c>
      <c r="H173" s="71">
        <v>0</v>
      </c>
      <c r="I173" s="119">
        <f>I191</f>
        <v>700</v>
      </c>
      <c r="J173" s="71">
        <v>0</v>
      </c>
      <c r="K173" s="71">
        <v>0</v>
      </c>
      <c r="L173" s="71">
        <v>0</v>
      </c>
      <c r="M173" s="71">
        <f>M174</f>
        <v>2000</v>
      </c>
      <c r="N173" s="71">
        <v>0</v>
      </c>
      <c r="O173" s="71">
        <v>0</v>
      </c>
      <c r="P173" s="71">
        <v>0</v>
      </c>
      <c r="Q173" s="182">
        <v>2700</v>
      </c>
      <c r="R173" s="182">
        <v>2700</v>
      </c>
      <c r="S173" s="182">
        <v>19244.807220120776</v>
      </c>
      <c r="T173" s="184">
        <v>12141.445351383634</v>
      </c>
    </row>
    <row r="174" spans="1:62" s="32" customFormat="1" ht="19.5" thickBot="1" x14ac:dyDescent="0.35">
      <c r="A174" s="69">
        <v>422</v>
      </c>
      <c r="B174" s="250" t="s">
        <v>22</v>
      </c>
      <c r="C174" s="182">
        <v>2000</v>
      </c>
      <c r="D174" s="71">
        <v>0</v>
      </c>
      <c r="E174" s="119">
        <f>E187</f>
        <v>0</v>
      </c>
      <c r="F174" s="71">
        <v>0</v>
      </c>
      <c r="G174" s="183">
        <f>G175+G179+G183+G187+G189</f>
        <v>0</v>
      </c>
      <c r="H174" s="71">
        <v>0</v>
      </c>
      <c r="I174" s="119">
        <v>0</v>
      </c>
      <c r="J174" s="71">
        <v>0</v>
      </c>
      <c r="K174" s="71">
        <v>0</v>
      </c>
      <c r="L174" s="71">
        <v>0</v>
      </c>
      <c r="M174" s="71">
        <f>M187</f>
        <v>2000</v>
      </c>
      <c r="N174" s="71">
        <v>0</v>
      </c>
      <c r="O174" s="71">
        <v>0</v>
      </c>
      <c r="P174" s="71">
        <v>0</v>
      </c>
      <c r="Q174" s="182">
        <v>2000</v>
      </c>
      <c r="R174" s="182">
        <v>2000</v>
      </c>
      <c r="S174" s="182">
        <v>16855.796668657509</v>
      </c>
      <c r="T174" s="184">
        <v>12048.673435529894</v>
      </c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F174" s="33"/>
      <c r="AG174" s="33"/>
      <c r="AH174" s="33"/>
      <c r="AI174" s="33"/>
      <c r="AJ174" s="33"/>
      <c r="AK174" s="33"/>
      <c r="AL174" s="33"/>
      <c r="AM174" s="33"/>
      <c r="AN174" s="33"/>
      <c r="AO174" s="33"/>
      <c r="AP174" s="33"/>
      <c r="AQ174" s="33"/>
      <c r="AR174" s="33"/>
      <c r="AS174" s="33"/>
      <c r="AT174" s="33"/>
      <c r="AU174" s="33"/>
      <c r="AV174" s="33"/>
      <c r="AW174" s="33"/>
      <c r="AX174" s="33"/>
      <c r="AY174" s="33"/>
      <c r="AZ174" s="33"/>
      <c r="BA174" s="33"/>
      <c r="BB174" s="33"/>
      <c r="BC174" s="33"/>
      <c r="BD174" s="33"/>
      <c r="BE174" s="33"/>
      <c r="BF174" s="33"/>
      <c r="BG174" s="33"/>
      <c r="BH174" s="33"/>
      <c r="BI174" s="33"/>
      <c r="BJ174" s="33"/>
    </row>
    <row r="175" spans="1:62" s="36" customFormat="1" x14ac:dyDescent="0.3">
      <c r="A175" s="222">
        <v>4221</v>
      </c>
      <c r="B175" s="249" t="s">
        <v>48</v>
      </c>
      <c r="C175" s="224">
        <v>0</v>
      </c>
      <c r="D175" s="234">
        <v>0</v>
      </c>
      <c r="E175" s="233">
        <v>0</v>
      </c>
      <c r="F175" s="234">
        <v>0</v>
      </c>
      <c r="G175" s="228">
        <f>G176+G177+G178</f>
        <v>0</v>
      </c>
      <c r="H175" s="234">
        <v>0</v>
      </c>
      <c r="I175" s="233">
        <v>0</v>
      </c>
      <c r="J175" s="234">
        <v>0</v>
      </c>
      <c r="K175" s="234">
        <v>0</v>
      </c>
      <c r="L175" s="234">
        <v>0</v>
      </c>
      <c r="M175" s="234">
        <v>0</v>
      </c>
      <c r="N175" s="234">
        <v>0</v>
      </c>
      <c r="O175" s="234">
        <v>0</v>
      </c>
      <c r="P175" s="234">
        <v>0</v>
      </c>
      <c r="Q175" s="224">
        <v>0</v>
      </c>
      <c r="R175" s="191">
        <v>0</v>
      </c>
      <c r="S175" s="191">
        <v>1990.8421262193906</v>
      </c>
      <c r="T175" s="229">
        <v>688.79819496980554</v>
      </c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1"/>
      <c r="AJ175" s="31"/>
      <c r="AK175" s="31"/>
      <c r="AL175" s="31"/>
      <c r="AM175" s="31"/>
      <c r="AN175" s="31"/>
      <c r="AO175" s="31"/>
      <c r="AP175" s="31"/>
      <c r="AQ175" s="31"/>
      <c r="AR175" s="31"/>
      <c r="AS175" s="31"/>
      <c r="AT175" s="31"/>
      <c r="AU175" s="31"/>
      <c r="AV175" s="31"/>
      <c r="AW175" s="31"/>
      <c r="AX175" s="31"/>
      <c r="AY175" s="31"/>
      <c r="AZ175" s="31"/>
      <c r="BA175" s="31"/>
      <c r="BB175" s="31"/>
      <c r="BC175" s="31"/>
      <c r="BD175" s="31"/>
      <c r="BE175" s="31"/>
      <c r="BF175" s="31"/>
      <c r="BG175" s="31"/>
      <c r="BH175" s="31"/>
      <c r="BI175" s="31"/>
      <c r="BJ175" s="31"/>
    </row>
    <row r="176" spans="1:62" x14ac:dyDescent="0.3">
      <c r="A176" s="103">
        <v>42211</v>
      </c>
      <c r="B176" s="104" t="s">
        <v>123</v>
      </c>
      <c r="C176" s="127">
        <v>0</v>
      </c>
      <c r="D176" s="101">
        <v>0</v>
      </c>
      <c r="E176" s="101">
        <v>0</v>
      </c>
      <c r="F176" s="101">
        <v>0</v>
      </c>
      <c r="G176" s="121">
        <v>0</v>
      </c>
      <c r="H176" s="101">
        <v>0</v>
      </c>
      <c r="I176" s="101">
        <v>0</v>
      </c>
      <c r="J176" s="101">
        <v>0</v>
      </c>
      <c r="K176" s="101">
        <v>0</v>
      </c>
      <c r="L176" s="101">
        <v>0</v>
      </c>
      <c r="M176" s="101">
        <v>0</v>
      </c>
      <c r="N176" s="101">
        <v>0</v>
      </c>
      <c r="O176" s="101">
        <v>0</v>
      </c>
      <c r="P176" s="101">
        <v>0</v>
      </c>
      <c r="Q176" s="127">
        <v>0</v>
      </c>
      <c r="R176" s="128">
        <v>0</v>
      </c>
      <c r="S176" s="128">
        <v>663.61404207313024</v>
      </c>
      <c r="T176" s="176">
        <v>331.64111752604686</v>
      </c>
    </row>
    <row r="177" spans="1:62" x14ac:dyDescent="0.3">
      <c r="A177" s="103">
        <v>42212</v>
      </c>
      <c r="B177" s="104" t="s">
        <v>141</v>
      </c>
      <c r="C177" s="127">
        <v>0</v>
      </c>
      <c r="D177" s="101">
        <v>0</v>
      </c>
      <c r="E177" s="101">
        <v>0</v>
      </c>
      <c r="F177" s="101">
        <v>0</v>
      </c>
      <c r="G177" s="121">
        <v>0</v>
      </c>
      <c r="H177" s="101">
        <v>0</v>
      </c>
      <c r="I177" s="101">
        <v>0</v>
      </c>
      <c r="J177" s="101">
        <v>0</v>
      </c>
      <c r="K177" s="101">
        <v>0</v>
      </c>
      <c r="L177" s="101">
        <v>0</v>
      </c>
      <c r="M177" s="101">
        <v>0</v>
      </c>
      <c r="N177" s="101">
        <v>0</v>
      </c>
      <c r="O177" s="101">
        <v>0</v>
      </c>
      <c r="P177" s="101">
        <v>0</v>
      </c>
      <c r="Q177" s="127">
        <v>0</v>
      </c>
      <c r="R177" s="128">
        <v>0</v>
      </c>
      <c r="S177" s="128">
        <v>663.61404207313024</v>
      </c>
      <c r="T177" s="176">
        <v>357.15707744375868</v>
      </c>
    </row>
    <row r="178" spans="1:62" x14ac:dyDescent="0.3">
      <c r="A178" s="103">
        <v>42219</v>
      </c>
      <c r="B178" s="104" t="s">
        <v>124</v>
      </c>
      <c r="C178" s="127">
        <v>0</v>
      </c>
      <c r="D178" s="101">
        <v>0</v>
      </c>
      <c r="E178" s="101">
        <v>0</v>
      </c>
      <c r="F178" s="101">
        <v>0</v>
      </c>
      <c r="G178" s="121">
        <v>0</v>
      </c>
      <c r="H178" s="101">
        <v>0</v>
      </c>
      <c r="I178" s="101">
        <v>0</v>
      </c>
      <c r="J178" s="101">
        <v>0</v>
      </c>
      <c r="K178" s="101">
        <v>0</v>
      </c>
      <c r="L178" s="101">
        <v>0</v>
      </c>
      <c r="M178" s="101">
        <v>0</v>
      </c>
      <c r="N178" s="101">
        <v>0</v>
      </c>
      <c r="O178" s="101">
        <v>0</v>
      </c>
      <c r="P178" s="101">
        <v>0</v>
      </c>
      <c r="Q178" s="127">
        <v>0</v>
      </c>
      <c r="R178" s="128">
        <v>0</v>
      </c>
      <c r="S178" s="128">
        <v>663.61404207313024</v>
      </c>
      <c r="T178" s="176">
        <v>0</v>
      </c>
    </row>
    <row r="179" spans="1:62" s="36" customFormat="1" x14ac:dyDescent="0.3">
      <c r="A179" s="95">
        <v>4222</v>
      </c>
      <c r="B179" s="47" t="s">
        <v>49</v>
      </c>
      <c r="C179" s="126">
        <v>0</v>
      </c>
      <c r="D179" s="64">
        <v>0</v>
      </c>
      <c r="E179" s="116">
        <v>0</v>
      </c>
      <c r="F179" s="64">
        <v>0</v>
      </c>
      <c r="G179" s="120">
        <f>G180+G182+G181</f>
        <v>0</v>
      </c>
      <c r="H179" s="64">
        <v>0</v>
      </c>
      <c r="I179" s="116">
        <v>0</v>
      </c>
      <c r="J179" s="64">
        <v>0</v>
      </c>
      <c r="K179" s="64">
        <v>0</v>
      </c>
      <c r="L179" s="64">
        <v>0</v>
      </c>
      <c r="M179" s="64">
        <v>0</v>
      </c>
      <c r="N179" s="64">
        <v>0</v>
      </c>
      <c r="O179" s="64">
        <v>0</v>
      </c>
      <c r="P179" s="64">
        <v>0</v>
      </c>
      <c r="Q179" s="126">
        <v>0</v>
      </c>
      <c r="R179" s="192">
        <v>0</v>
      </c>
      <c r="S179" s="192">
        <v>1858.1193178047647</v>
      </c>
      <c r="T179" s="198">
        <v>1058.9594531820292</v>
      </c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  <c r="AJ179" s="31"/>
      <c r="AK179" s="31"/>
      <c r="AL179" s="31"/>
      <c r="AM179" s="31"/>
      <c r="AN179" s="31"/>
      <c r="AO179" s="31"/>
      <c r="AP179" s="31"/>
      <c r="AQ179" s="31"/>
      <c r="AR179" s="31"/>
      <c r="AS179" s="31"/>
      <c r="AT179" s="31"/>
      <c r="AU179" s="31"/>
      <c r="AV179" s="31"/>
      <c r="AW179" s="31"/>
      <c r="AX179" s="31"/>
      <c r="AY179" s="31"/>
      <c r="AZ179" s="31"/>
      <c r="BA179" s="31"/>
      <c r="BB179" s="31"/>
      <c r="BC179" s="31"/>
      <c r="BD179" s="31"/>
      <c r="BE179" s="31"/>
      <c r="BF179" s="31"/>
      <c r="BG179" s="31"/>
      <c r="BH179" s="31"/>
      <c r="BI179" s="31"/>
      <c r="BJ179" s="31"/>
    </row>
    <row r="180" spans="1:62" s="31" customFormat="1" x14ac:dyDescent="0.3">
      <c r="A180" s="97">
        <v>42221</v>
      </c>
      <c r="B180" s="48" t="s">
        <v>147</v>
      </c>
      <c r="C180" s="127">
        <v>0</v>
      </c>
      <c r="D180" s="66">
        <v>0</v>
      </c>
      <c r="E180" s="117">
        <v>0</v>
      </c>
      <c r="F180" s="66">
        <v>0</v>
      </c>
      <c r="G180" s="122">
        <v>0</v>
      </c>
      <c r="H180" s="66">
        <v>0</v>
      </c>
      <c r="I180" s="117">
        <v>0</v>
      </c>
      <c r="J180" s="66">
        <v>0</v>
      </c>
      <c r="K180" s="66">
        <v>0</v>
      </c>
      <c r="L180" s="66">
        <v>0</v>
      </c>
      <c r="M180" s="66">
        <v>0</v>
      </c>
      <c r="N180" s="66">
        <v>0</v>
      </c>
      <c r="O180" s="66">
        <v>0</v>
      </c>
      <c r="P180" s="66">
        <v>0</v>
      </c>
      <c r="Q180" s="127">
        <v>0</v>
      </c>
      <c r="R180" s="128">
        <v>0</v>
      </c>
      <c r="S180" s="128">
        <v>663.61404207313024</v>
      </c>
      <c r="T180" s="176">
        <v>0</v>
      </c>
    </row>
    <row r="181" spans="1:62" s="31" customFormat="1" x14ac:dyDescent="0.3">
      <c r="A181" s="97">
        <v>42222</v>
      </c>
      <c r="B181" s="48" t="s">
        <v>145</v>
      </c>
      <c r="C181" s="127">
        <v>0</v>
      </c>
      <c r="D181" s="66">
        <v>0</v>
      </c>
      <c r="E181" s="117">
        <v>0</v>
      </c>
      <c r="F181" s="66">
        <v>0</v>
      </c>
      <c r="G181" s="121">
        <v>0</v>
      </c>
      <c r="H181" s="66">
        <v>0</v>
      </c>
      <c r="I181" s="117">
        <v>0</v>
      </c>
      <c r="J181" s="66">
        <v>0</v>
      </c>
      <c r="K181" s="66">
        <v>0</v>
      </c>
      <c r="L181" s="66">
        <v>0</v>
      </c>
      <c r="M181" s="66">
        <v>0</v>
      </c>
      <c r="N181" s="66">
        <v>0</v>
      </c>
      <c r="O181" s="66">
        <v>0</v>
      </c>
      <c r="P181" s="66">
        <v>0</v>
      </c>
      <c r="Q181" s="127">
        <v>0</v>
      </c>
      <c r="R181" s="128">
        <v>0</v>
      </c>
      <c r="S181" s="128">
        <v>530.89123365850423</v>
      </c>
      <c r="T181" s="176">
        <v>0</v>
      </c>
    </row>
    <row r="182" spans="1:62" s="31" customFormat="1" x14ac:dyDescent="0.3">
      <c r="A182" s="97">
        <v>42229</v>
      </c>
      <c r="B182" s="48" t="s">
        <v>148</v>
      </c>
      <c r="C182" s="127">
        <v>0</v>
      </c>
      <c r="D182" s="66">
        <v>0</v>
      </c>
      <c r="E182" s="117">
        <v>0</v>
      </c>
      <c r="F182" s="66">
        <v>0</v>
      </c>
      <c r="G182" s="122">
        <v>0</v>
      </c>
      <c r="H182" s="66">
        <v>0</v>
      </c>
      <c r="I182" s="117">
        <v>0</v>
      </c>
      <c r="J182" s="66">
        <v>0</v>
      </c>
      <c r="K182" s="66">
        <v>0</v>
      </c>
      <c r="L182" s="66">
        <v>0</v>
      </c>
      <c r="M182" s="66">
        <v>0</v>
      </c>
      <c r="N182" s="66">
        <v>0</v>
      </c>
      <c r="O182" s="66">
        <v>0</v>
      </c>
      <c r="P182" s="66">
        <v>0</v>
      </c>
      <c r="Q182" s="127">
        <v>0</v>
      </c>
      <c r="R182" s="128">
        <v>0</v>
      </c>
      <c r="S182" s="128">
        <v>663.61404207313024</v>
      </c>
      <c r="T182" s="176">
        <v>1058.9594531820292</v>
      </c>
    </row>
    <row r="183" spans="1:62" s="36" customFormat="1" x14ac:dyDescent="0.3">
      <c r="A183" s="95">
        <v>4223</v>
      </c>
      <c r="B183" s="47" t="s">
        <v>56</v>
      </c>
      <c r="C183" s="126">
        <v>0</v>
      </c>
      <c r="D183" s="64">
        <v>0</v>
      </c>
      <c r="E183" s="116">
        <v>0</v>
      </c>
      <c r="F183" s="64">
        <v>0</v>
      </c>
      <c r="G183" s="120">
        <f>G184+G185+G186</f>
        <v>0</v>
      </c>
      <c r="H183" s="64">
        <v>0</v>
      </c>
      <c r="I183" s="116">
        <v>0</v>
      </c>
      <c r="J183" s="64">
        <v>0</v>
      </c>
      <c r="K183" s="64">
        <v>0</v>
      </c>
      <c r="L183" s="64">
        <v>0</v>
      </c>
      <c r="M183" s="64">
        <v>0</v>
      </c>
      <c r="N183" s="64">
        <v>0</v>
      </c>
      <c r="O183" s="64">
        <v>0</v>
      </c>
      <c r="P183" s="64">
        <v>0</v>
      </c>
      <c r="Q183" s="126">
        <v>0</v>
      </c>
      <c r="R183" s="192">
        <v>0</v>
      </c>
      <c r="S183" s="192">
        <v>1990.8421262193906</v>
      </c>
      <c r="T183" s="198">
        <v>0</v>
      </c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  <c r="AH183" s="31"/>
      <c r="AI183" s="31"/>
      <c r="AJ183" s="31"/>
      <c r="AK183" s="31"/>
      <c r="AL183" s="31"/>
      <c r="AM183" s="31"/>
      <c r="AN183" s="31"/>
      <c r="AO183" s="31"/>
      <c r="AP183" s="31"/>
      <c r="AQ183" s="31"/>
      <c r="AR183" s="31"/>
      <c r="AS183" s="31"/>
      <c r="AT183" s="31"/>
      <c r="AU183" s="31"/>
      <c r="AV183" s="31"/>
      <c r="AW183" s="31"/>
      <c r="AX183" s="31"/>
      <c r="AY183" s="31"/>
      <c r="AZ183" s="31"/>
      <c r="BA183" s="31"/>
      <c r="BB183" s="31"/>
      <c r="BC183" s="31"/>
      <c r="BD183" s="31"/>
      <c r="BE183" s="31"/>
      <c r="BF183" s="31"/>
      <c r="BG183" s="31"/>
      <c r="BH183" s="31"/>
      <c r="BI183" s="31"/>
      <c r="BJ183" s="31"/>
    </row>
    <row r="184" spans="1:62" s="31" customFormat="1" x14ac:dyDescent="0.3">
      <c r="A184" s="97">
        <v>42231</v>
      </c>
      <c r="B184" s="48" t="s">
        <v>142</v>
      </c>
      <c r="C184" s="127">
        <v>0</v>
      </c>
      <c r="D184" s="66">
        <v>0</v>
      </c>
      <c r="E184" s="117">
        <v>0</v>
      </c>
      <c r="F184" s="66">
        <v>0</v>
      </c>
      <c r="G184" s="121">
        <v>0</v>
      </c>
      <c r="H184" s="66">
        <v>0</v>
      </c>
      <c r="I184" s="117">
        <v>0</v>
      </c>
      <c r="J184" s="66">
        <v>0</v>
      </c>
      <c r="K184" s="66">
        <v>0</v>
      </c>
      <c r="L184" s="66">
        <v>0</v>
      </c>
      <c r="M184" s="66">
        <v>0</v>
      </c>
      <c r="N184" s="66">
        <v>0</v>
      </c>
      <c r="O184" s="66">
        <v>0</v>
      </c>
      <c r="P184" s="66">
        <v>0</v>
      </c>
      <c r="Q184" s="127">
        <v>0</v>
      </c>
      <c r="R184" s="128">
        <v>0</v>
      </c>
      <c r="S184" s="128">
        <v>663.61404207313024</v>
      </c>
      <c r="T184" s="176">
        <v>0</v>
      </c>
    </row>
    <row r="185" spans="1:62" s="31" customFormat="1" x14ac:dyDescent="0.3">
      <c r="A185" s="97">
        <v>42232</v>
      </c>
      <c r="B185" s="48" t="s">
        <v>149</v>
      </c>
      <c r="C185" s="127">
        <v>0</v>
      </c>
      <c r="D185" s="66">
        <v>0</v>
      </c>
      <c r="E185" s="117">
        <v>0</v>
      </c>
      <c r="F185" s="66">
        <v>0</v>
      </c>
      <c r="G185" s="121">
        <v>0</v>
      </c>
      <c r="H185" s="66">
        <v>0</v>
      </c>
      <c r="I185" s="117">
        <v>0</v>
      </c>
      <c r="J185" s="66">
        <v>0</v>
      </c>
      <c r="K185" s="66">
        <v>0</v>
      </c>
      <c r="L185" s="66">
        <v>0</v>
      </c>
      <c r="M185" s="66">
        <v>0</v>
      </c>
      <c r="N185" s="66">
        <v>0</v>
      </c>
      <c r="O185" s="66">
        <v>0</v>
      </c>
      <c r="P185" s="66">
        <v>0</v>
      </c>
      <c r="Q185" s="127">
        <v>0</v>
      </c>
      <c r="R185" s="128">
        <v>0</v>
      </c>
      <c r="S185" s="128">
        <v>663.61404207313024</v>
      </c>
      <c r="T185" s="176">
        <v>0</v>
      </c>
    </row>
    <row r="186" spans="1:62" x14ac:dyDescent="0.3">
      <c r="A186" s="103">
        <v>42239</v>
      </c>
      <c r="B186" s="104" t="s">
        <v>125</v>
      </c>
      <c r="C186" s="127">
        <v>0</v>
      </c>
      <c r="D186" s="101">
        <v>0</v>
      </c>
      <c r="E186" s="101">
        <v>0</v>
      </c>
      <c r="F186" s="101">
        <v>0</v>
      </c>
      <c r="G186" s="121">
        <v>0</v>
      </c>
      <c r="H186" s="101">
        <v>0</v>
      </c>
      <c r="I186" s="101">
        <v>0</v>
      </c>
      <c r="J186" s="101">
        <v>0</v>
      </c>
      <c r="K186" s="101">
        <v>0</v>
      </c>
      <c r="L186" s="101">
        <v>0</v>
      </c>
      <c r="M186" s="101">
        <v>0</v>
      </c>
      <c r="N186" s="101">
        <v>0</v>
      </c>
      <c r="O186" s="101">
        <v>0</v>
      </c>
      <c r="P186" s="101">
        <v>0</v>
      </c>
      <c r="Q186" s="127">
        <v>0</v>
      </c>
      <c r="R186" s="128">
        <v>0</v>
      </c>
      <c r="S186" s="128">
        <v>663.61404207313024</v>
      </c>
      <c r="T186" s="176">
        <v>0</v>
      </c>
    </row>
    <row r="187" spans="1:62" s="36" customFormat="1" x14ac:dyDescent="0.3">
      <c r="A187" s="95">
        <v>4226</v>
      </c>
      <c r="B187" s="47" t="s">
        <v>50</v>
      </c>
      <c r="C187" s="126">
        <v>2000</v>
      </c>
      <c r="D187" s="64">
        <v>0</v>
      </c>
      <c r="E187" s="116">
        <v>0</v>
      </c>
      <c r="F187" s="64">
        <v>0</v>
      </c>
      <c r="G187" s="120">
        <f>G188</f>
        <v>0</v>
      </c>
      <c r="H187" s="64">
        <v>0</v>
      </c>
      <c r="I187" s="116">
        <v>0</v>
      </c>
      <c r="J187" s="64">
        <v>0</v>
      </c>
      <c r="K187" s="64">
        <v>0</v>
      </c>
      <c r="L187" s="64">
        <v>0</v>
      </c>
      <c r="M187" s="64">
        <f>M188</f>
        <v>2000</v>
      </c>
      <c r="N187" s="64">
        <v>0</v>
      </c>
      <c r="O187" s="64">
        <v>0</v>
      </c>
      <c r="P187" s="64">
        <v>0</v>
      </c>
      <c r="Q187" s="126">
        <v>2000</v>
      </c>
      <c r="R187" s="192">
        <v>2000</v>
      </c>
      <c r="S187" s="192">
        <v>9954.2106310969539</v>
      </c>
      <c r="T187" s="198">
        <v>10300.91578737806</v>
      </c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F187" s="31"/>
      <c r="AG187" s="31"/>
      <c r="AH187" s="31"/>
      <c r="AI187" s="31"/>
      <c r="AJ187" s="31"/>
      <c r="AK187" s="31"/>
      <c r="AL187" s="31"/>
      <c r="AM187" s="31"/>
      <c r="AN187" s="31"/>
      <c r="AO187" s="31"/>
      <c r="AP187" s="31"/>
      <c r="AQ187" s="31"/>
      <c r="AR187" s="31"/>
      <c r="AS187" s="31"/>
      <c r="AT187" s="31"/>
      <c r="AU187" s="31"/>
      <c r="AV187" s="31"/>
      <c r="AW187" s="31"/>
      <c r="AX187" s="31"/>
      <c r="AY187" s="31"/>
      <c r="AZ187" s="31"/>
      <c r="BA187" s="31"/>
      <c r="BB187" s="31"/>
      <c r="BC187" s="31"/>
      <c r="BD187" s="31"/>
      <c r="BE187" s="31"/>
      <c r="BF187" s="31"/>
      <c r="BG187" s="31"/>
      <c r="BH187" s="31"/>
      <c r="BI187" s="31"/>
      <c r="BJ187" s="31"/>
    </row>
    <row r="188" spans="1:62" x14ac:dyDescent="0.3">
      <c r="A188" s="103">
        <v>42262</v>
      </c>
      <c r="B188" s="104" t="s">
        <v>126</v>
      </c>
      <c r="C188" s="127">
        <v>2000</v>
      </c>
      <c r="D188" s="101">
        <v>0</v>
      </c>
      <c r="E188" s="101">
        <v>0</v>
      </c>
      <c r="F188" s="101">
        <v>0</v>
      </c>
      <c r="G188" s="121">
        <v>0</v>
      </c>
      <c r="H188" s="101">
        <v>0</v>
      </c>
      <c r="I188" s="101">
        <v>0</v>
      </c>
      <c r="J188" s="101">
        <v>0</v>
      </c>
      <c r="K188" s="101">
        <v>0</v>
      </c>
      <c r="L188" s="101">
        <v>0</v>
      </c>
      <c r="M188" s="101">
        <v>2000</v>
      </c>
      <c r="N188" s="101">
        <v>0</v>
      </c>
      <c r="O188" s="101">
        <v>0</v>
      </c>
      <c r="P188" s="101">
        <v>0</v>
      </c>
      <c r="Q188" s="127">
        <v>2000</v>
      </c>
      <c r="R188" s="128">
        <v>2000</v>
      </c>
      <c r="S188" s="128">
        <v>9954.2106310969539</v>
      </c>
      <c r="T188" s="176">
        <v>10300.91578737806</v>
      </c>
    </row>
    <row r="189" spans="1:62" s="36" customFormat="1" x14ac:dyDescent="0.3">
      <c r="A189" s="95">
        <v>4227</v>
      </c>
      <c r="B189" s="47" t="s">
        <v>51</v>
      </c>
      <c r="C189" s="126">
        <v>0</v>
      </c>
      <c r="D189" s="64">
        <v>0</v>
      </c>
      <c r="E189" s="116">
        <v>0</v>
      </c>
      <c r="F189" s="64">
        <v>0</v>
      </c>
      <c r="G189" s="120">
        <f>G190</f>
        <v>0</v>
      </c>
      <c r="H189" s="64">
        <v>0</v>
      </c>
      <c r="I189" s="116">
        <v>0</v>
      </c>
      <c r="J189" s="64">
        <v>0</v>
      </c>
      <c r="K189" s="64">
        <v>0</v>
      </c>
      <c r="L189" s="64">
        <v>0</v>
      </c>
      <c r="M189" s="64">
        <v>0</v>
      </c>
      <c r="N189" s="64">
        <v>0</v>
      </c>
      <c r="O189" s="64">
        <v>0</v>
      </c>
      <c r="P189" s="64">
        <v>0</v>
      </c>
      <c r="Q189" s="126">
        <v>0</v>
      </c>
      <c r="R189" s="192">
        <v>0</v>
      </c>
      <c r="S189" s="192">
        <v>1061.7824673170085</v>
      </c>
      <c r="T189" s="198">
        <v>0</v>
      </c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F189" s="31"/>
      <c r="AG189" s="31"/>
      <c r="AH189" s="31"/>
      <c r="AI189" s="31"/>
      <c r="AJ189" s="31"/>
      <c r="AK189" s="31"/>
      <c r="AL189" s="31"/>
      <c r="AM189" s="31"/>
      <c r="AN189" s="31"/>
      <c r="AO189" s="31"/>
      <c r="AP189" s="31"/>
      <c r="AQ189" s="31"/>
      <c r="AR189" s="31"/>
      <c r="AS189" s="31"/>
      <c r="AT189" s="31"/>
      <c r="AU189" s="31"/>
      <c r="AV189" s="31"/>
      <c r="AW189" s="31"/>
      <c r="AX189" s="31"/>
      <c r="AY189" s="31"/>
      <c r="AZ189" s="31"/>
      <c r="BA189" s="31"/>
      <c r="BB189" s="31"/>
      <c r="BC189" s="31"/>
      <c r="BD189" s="31"/>
      <c r="BE189" s="31"/>
      <c r="BF189" s="31"/>
      <c r="BG189" s="31"/>
      <c r="BH189" s="31"/>
      <c r="BI189" s="31"/>
      <c r="BJ189" s="31"/>
    </row>
    <row r="190" spans="1:62" s="36" customFormat="1" ht="19.5" thickBot="1" x14ac:dyDescent="0.35">
      <c r="A190" s="98">
        <v>42273</v>
      </c>
      <c r="B190" s="251" t="s">
        <v>159</v>
      </c>
      <c r="C190" s="125">
        <v>0</v>
      </c>
      <c r="D190" s="65">
        <v>0</v>
      </c>
      <c r="E190" s="115">
        <v>0</v>
      </c>
      <c r="F190" s="65">
        <v>0</v>
      </c>
      <c r="G190" s="186">
        <v>0</v>
      </c>
      <c r="H190" s="65">
        <v>0</v>
      </c>
      <c r="I190" s="115">
        <v>0</v>
      </c>
      <c r="J190" s="65">
        <v>0</v>
      </c>
      <c r="K190" s="65">
        <v>0</v>
      </c>
      <c r="L190" s="65">
        <v>0</v>
      </c>
      <c r="M190" s="65">
        <v>0</v>
      </c>
      <c r="N190" s="65">
        <v>0</v>
      </c>
      <c r="O190" s="65">
        <v>0</v>
      </c>
      <c r="P190" s="65">
        <v>0</v>
      </c>
      <c r="Q190" s="125">
        <v>0</v>
      </c>
      <c r="R190" s="190">
        <v>0</v>
      </c>
      <c r="S190" s="190">
        <v>1061.7824673170085</v>
      </c>
      <c r="T190" s="217">
        <v>0</v>
      </c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F190" s="31"/>
      <c r="AG190" s="31"/>
      <c r="AH190" s="31"/>
      <c r="AI190" s="31"/>
      <c r="AJ190" s="31"/>
      <c r="AK190" s="31"/>
      <c r="AL190" s="31"/>
      <c r="AM190" s="31"/>
      <c r="AN190" s="31"/>
      <c r="AO190" s="31"/>
      <c r="AP190" s="31"/>
      <c r="AQ190" s="31"/>
      <c r="AR190" s="31"/>
      <c r="AS190" s="31"/>
      <c r="AT190" s="31"/>
      <c r="AU190" s="31"/>
      <c r="AV190" s="31"/>
      <c r="AW190" s="31"/>
      <c r="AX190" s="31"/>
      <c r="AY190" s="31"/>
      <c r="AZ190" s="31"/>
      <c r="BA190" s="31"/>
      <c r="BB190" s="31"/>
      <c r="BC190" s="31"/>
      <c r="BD190" s="31"/>
      <c r="BE190" s="31"/>
      <c r="BF190" s="31"/>
      <c r="BG190" s="31"/>
      <c r="BH190" s="31"/>
      <c r="BI190" s="31"/>
      <c r="BJ190" s="31"/>
    </row>
    <row r="191" spans="1:62" s="32" customFormat="1" ht="19.5" thickBot="1" x14ac:dyDescent="0.35">
      <c r="A191" s="69">
        <v>424</v>
      </c>
      <c r="B191" s="250" t="s">
        <v>23</v>
      </c>
      <c r="C191" s="182">
        <v>700</v>
      </c>
      <c r="D191" s="71">
        <v>0</v>
      </c>
      <c r="E191" s="119">
        <v>0</v>
      </c>
      <c r="F191" s="71">
        <v>0</v>
      </c>
      <c r="G191" s="183">
        <f>G192</f>
        <v>0</v>
      </c>
      <c r="H191" s="71">
        <v>0</v>
      </c>
      <c r="I191" s="119">
        <f>I192</f>
        <v>700</v>
      </c>
      <c r="J191" s="71">
        <v>0</v>
      </c>
      <c r="K191" s="71">
        <v>0</v>
      </c>
      <c r="L191" s="71">
        <v>0</v>
      </c>
      <c r="M191" s="71">
        <v>0</v>
      </c>
      <c r="N191" s="71">
        <v>0</v>
      </c>
      <c r="O191" s="71">
        <v>0</v>
      </c>
      <c r="P191" s="71">
        <v>0</v>
      </c>
      <c r="Q191" s="182">
        <v>700</v>
      </c>
      <c r="R191" s="182">
        <v>700</v>
      </c>
      <c r="S191" s="182">
        <v>2389.0105514632687</v>
      </c>
      <c r="T191" s="184">
        <v>92.771915853739458</v>
      </c>
      <c r="U191" s="33"/>
      <c r="V191" s="33"/>
      <c r="W191" s="33"/>
      <c r="X191" s="33"/>
      <c r="Y191" s="33"/>
      <c r="Z191" s="33"/>
      <c r="AA191" s="33"/>
      <c r="AB191" s="33"/>
      <c r="AC191" s="33"/>
      <c r="AD191" s="33"/>
      <c r="AE191" s="33"/>
      <c r="AF191" s="33"/>
      <c r="AG191" s="33"/>
      <c r="AH191" s="33"/>
      <c r="AI191" s="33"/>
      <c r="AJ191" s="33"/>
      <c r="AK191" s="33"/>
      <c r="AL191" s="33"/>
      <c r="AM191" s="33"/>
      <c r="AN191" s="33"/>
      <c r="AO191" s="33"/>
      <c r="AP191" s="33"/>
      <c r="AQ191" s="33"/>
      <c r="AR191" s="33"/>
      <c r="AS191" s="33"/>
      <c r="AT191" s="33"/>
      <c r="AU191" s="33"/>
      <c r="AV191" s="33"/>
      <c r="AW191" s="33"/>
      <c r="AX191" s="33"/>
      <c r="AY191" s="33"/>
      <c r="AZ191" s="33"/>
      <c r="BA191" s="33"/>
      <c r="BB191" s="33"/>
      <c r="BC191" s="33"/>
      <c r="BD191" s="33"/>
      <c r="BE191" s="33"/>
      <c r="BF191" s="33"/>
      <c r="BG191" s="33"/>
      <c r="BH191" s="33"/>
      <c r="BI191" s="33"/>
      <c r="BJ191" s="33"/>
    </row>
    <row r="192" spans="1:62" s="44" customFormat="1" x14ac:dyDescent="0.3">
      <c r="A192" s="222">
        <v>4241</v>
      </c>
      <c r="B192" s="249" t="s">
        <v>52</v>
      </c>
      <c r="C192" s="224">
        <v>700</v>
      </c>
      <c r="D192" s="253">
        <v>0</v>
      </c>
      <c r="E192" s="252">
        <v>0</v>
      </c>
      <c r="F192" s="253">
        <v>0</v>
      </c>
      <c r="G192" s="228">
        <f>G193</f>
        <v>0</v>
      </c>
      <c r="H192" s="253">
        <v>0</v>
      </c>
      <c r="I192" s="252">
        <f>I193</f>
        <v>700</v>
      </c>
      <c r="J192" s="253">
        <v>0</v>
      </c>
      <c r="K192" s="253">
        <v>0</v>
      </c>
      <c r="L192" s="253">
        <v>0</v>
      </c>
      <c r="M192" s="253">
        <v>0</v>
      </c>
      <c r="N192" s="253">
        <v>0</v>
      </c>
      <c r="O192" s="253">
        <v>0</v>
      </c>
      <c r="P192" s="253">
        <v>0</v>
      </c>
      <c r="Q192" s="224">
        <v>700</v>
      </c>
      <c r="R192" s="191">
        <v>700</v>
      </c>
      <c r="S192" s="191">
        <v>2389.0105514632687</v>
      </c>
      <c r="T192" s="229">
        <v>92.771915853739458</v>
      </c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F192" s="33"/>
      <c r="AG192" s="33"/>
      <c r="AH192" s="33"/>
      <c r="AI192" s="33"/>
      <c r="AJ192" s="33"/>
      <c r="AK192" s="33"/>
      <c r="AL192" s="33"/>
      <c r="AM192" s="33"/>
      <c r="AN192" s="33"/>
      <c r="AO192" s="33"/>
      <c r="AP192" s="33"/>
      <c r="AQ192" s="33"/>
      <c r="AR192" s="33"/>
      <c r="AS192" s="33"/>
      <c r="AT192" s="33"/>
      <c r="AU192" s="33"/>
      <c r="AV192" s="33"/>
      <c r="AW192" s="33"/>
      <c r="AX192" s="33"/>
      <c r="AY192" s="33"/>
      <c r="AZ192" s="33"/>
      <c r="BA192" s="33"/>
      <c r="BB192" s="33"/>
      <c r="BC192" s="33"/>
      <c r="BD192" s="33"/>
      <c r="BE192" s="33"/>
      <c r="BF192" s="33"/>
      <c r="BG192" s="33"/>
      <c r="BH192" s="33"/>
      <c r="BI192" s="33"/>
      <c r="BJ192" s="33"/>
    </row>
    <row r="193" spans="1:62" s="33" customFormat="1" x14ac:dyDescent="0.3">
      <c r="A193" s="97">
        <v>42411</v>
      </c>
      <c r="B193" s="48" t="s">
        <v>52</v>
      </c>
      <c r="C193" s="128">
        <v>700</v>
      </c>
      <c r="D193" s="66">
        <v>0</v>
      </c>
      <c r="E193" s="117">
        <v>0</v>
      </c>
      <c r="F193" s="66">
        <v>0</v>
      </c>
      <c r="G193" s="121">
        <v>0</v>
      </c>
      <c r="H193" s="66">
        <v>0</v>
      </c>
      <c r="I193" s="117">
        <v>700</v>
      </c>
      <c r="J193" s="66">
        <v>0</v>
      </c>
      <c r="K193" s="66">
        <v>0</v>
      </c>
      <c r="L193" s="66">
        <v>0</v>
      </c>
      <c r="M193" s="66">
        <v>0</v>
      </c>
      <c r="N193" s="66">
        <v>0</v>
      </c>
      <c r="O193" s="66">
        <v>0</v>
      </c>
      <c r="P193" s="66">
        <v>0</v>
      </c>
      <c r="Q193" s="128">
        <v>700</v>
      </c>
      <c r="R193" s="128">
        <v>700</v>
      </c>
      <c r="S193" s="128">
        <v>2389.0105514632687</v>
      </c>
      <c r="T193" s="176">
        <v>92.771915853739458</v>
      </c>
    </row>
    <row r="194" spans="1:62" s="36" customFormat="1" x14ac:dyDescent="0.3">
      <c r="A194" s="95">
        <v>4242</v>
      </c>
      <c r="B194" s="47" t="s">
        <v>68</v>
      </c>
      <c r="C194" s="126">
        <v>0</v>
      </c>
      <c r="D194" s="64">
        <v>0</v>
      </c>
      <c r="E194" s="116">
        <v>0</v>
      </c>
      <c r="F194" s="64">
        <v>0</v>
      </c>
      <c r="G194" s="120">
        <v>0</v>
      </c>
      <c r="H194" s="64">
        <v>0</v>
      </c>
      <c r="I194" s="116">
        <v>0</v>
      </c>
      <c r="J194" s="64">
        <v>0</v>
      </c>
      <c r="K194" s="64">
        <v>0</v>
      </c>
      <c r="L194" s="64">
        <v>0</v>
      </c>
      <c r="M194" s="64">
        <v>0</v>
      </c>
      <c r="N194" s="64">
        <v>0</v>
      </c>
      <c r="O194" s="64">
        <v>0</v>
      </c>
      <c r="P194" s="64">
        <v>0</v>
      </c>
      <c r="Q194" s="126">
        <v>0</v>
      </c>
      <c r="R194" s="192">
        <v>0</v>
      </c>
      <c r="S194" s="192">
        <v>0</v>
      </c>
      <c r="T194" s="198">
        <v>0</v>
      </c>
      <c r="U194" s="31"/>
      <c r="V194" s="31"/>
      <c r="W194" s="31"/>
      <c r="X194" s="31"/>
      <c r="Y194" s="31"/>
      <c r="Z194" s="31"/>
      <c r="AA194" s="31"/>
      <c r="AB194" s="31"/>
      <c r="AC194" s="31"/>
      <c r="AD194" s="31"/>
      <c r="AE194" s="31"/>
      <c r="AF194" s="31"/>
      <c r="AG194" s="31"/>
      <c r="AH194" s="31"/>
      <c r="AI194" s="31"/>
      <c r="AJ194" s="31"/>
      <c r="AK194" s="31"/>
      <c r="AL194" s="31"/>
      <c r="AM194" s="31"/>
      <c r="AN194" s="31"/>
      <c r="AO194" s="31"/>
      <c r="AP194" s="31"/>
      <c r="AQ194" s="31"/>
      <c r="AR194" s="31"/>
      <c r="AS194" s="31"/>
      <c r="AT194" s="31"/>
      <c r="AU194" s="31"/>
      <c r="AV194" s="31"/>
      <c r="AW194" s="31"/>
      <c r="AX194" s="31"/>
      <c r="AY194" s="31"/>
      <c r="AZ194" s="31"/>
      <c r="BA194" s="31"/>
      <c r="BB194" s="31"/>
      <c r="BC194" s="31"/>
      <c r="BD194" s="31"/>
      <c r="BE194" s="31"/>
      <c r="BF194" s="31"/>
      <c r="BG194" s="31"/>
      <c r="BH194" s="31"/>
      <c r="BI194" s="31"/>
      <c r="BJ194" s="31"/>
    </row>
    <row r="195" spans="1:62" ht="19.5" thickBot="1" x14ac:dyDescent="0.35">
      <c r="A195" s="94">
        <v>42421</v>
      </c>
      <c r="B195" s="254" t="s">
        <v>127</v>
      </c>
      <c r="C195" s="125">
        <v>0</v>
      </c>
      <c r="D195" s="68">
        <v>0</v>
      </c>
      <c r="E195" s="68">
        <v>0</v>
      </c>
      <c r="F195" s="68">
        <v>0</v>
      </c>
      <c r="G195" s="123">
        <v>0</v>
      </c>
      <c r="H195" s="68">
        <v>0</v>
      </c>
      <c r="I195" s="68">
        <v>0</v>
      </c>
      <c r="J195" s="68">
        <v>0</v>
      </c>
      <c r="K195" s="68">
        <v>0</v>
      </c>
      <c r="L195" s="68">
        <v>0</v>
      </c>
      <c r="M195" s="68">
        <v>0</v>
      </c>
      <c r="N195" s="68">
        <v>0</v>
      </c>
      <c r="O195" s="68">
        <v>0</v>
      </c>
      <c r="P195" s="68">
        <v>0</v>
      </c>
      <c r="Q195" s="125">
        <v>0</v>
      </c>
      <c r="R195" s="190">
        <v>0</v>
      </c>
      <c r="S195" s="190">
        <v>0</v>
      </c>
      <c r="T195" s="217">
        <v>0</v>
      </c>
    </row>
    <row r="196" spans="1:62" s="32" customFormat="1" ht="19.5" thickBot="1" x14ac:dyDescent="0.35">
      <c r="A196" s="69">
        <v>426</v>
      </c>
      <c r="B196" s="250" t="s">
        <v>28</v>
      </c>
      <c r="C196" s="182">
        <v>0</v>
      </c>
      <c r="D196" s="71">
        <v>0</v>
      </c>
      <c r="E196" s="119">
        <v>0</v>
      </c>
      <c r="F196" s="71">
        <v>0</v>
      </c>
      <c r="G196" s="183">
        <v>0</v>
      </c>
      <c r="H196" s="71">
        <v>0</v>
      </c>
      <c r="I196" s="119">
        <v>0</v>
      </c>
      <c r="J196" s="71">
        <v>0</v>
      </c>
      <c r="K196" s="71">
        <v>0</v>
      </c>
      <c r="L196" s="71">
        <v>0</v>
      </c>
      <c r="M196" s="71">
        <v>0</v>
      </c>
      <c r="N196" s="71">
        <v>0</v>
      </c>
      <c r="O196" s="71">
        <v>0</v>
      </c>
      <c r="P196" s="71">
        <v>0</v>
      </c>
      <c r="Q196" s="182">
        <v>0</v>
      </c>
      <c r="R196" s="182">
        <v>0</v>
      </c>
      <c r="S196" s="182">
        <v>0</v>
      </c>
      <c r="T196" s="184">
        <v>0</v>
      </c>
      <c r="U196" s="33"/>
      <c r="V196" s="33"/>
      <c r="W196" s="33"/>
      <c r="X196" s="33"/>
      <c r="Y196" s="33"/>
      <c r="Z196" s="33"/>
      <c r="AA196" s="33"/>
      <c r="AB196" s="33"/>
      <c r="AC196" s="33"/>
      <c r="AD196" s="33"/>
      <c r="AE196" s="33"/>
      <c r="AF196" s="33"/>
      <c r="AG196" s="33"/>
      <c r="AH196" s="33"/>
      <c r="AI196" s="33"/>
      <c r="AJ196" s="33"/>
      <c r="AK196" s="33"/>
      <c r="AL196" s="33"/>
      <c r="AM196" s="33"/>
      <c r="AN196" s="33"/>
      <c r="AO196" s="33"/>
      <c r="AP196" s="33"/>
      <c r="AQ196" s="33"/>
      <c r="AR196" s="33"/>
      <c r="AS196" s="33"/>
      <c r="AT196" s="33"/>
      <c r="AU196" s="33"/>
      <c r="AV196" s="33"/>
      <c r="AW196" s="33"/>
      <c r="AX196" s="33"/>
      <c r="AY196" s="33"/>
      <c r="AZ196" s="33"/>
      <c r="BA196" s="33"/>
      <c r="BB196" s="33"/>
      <c r="BC196" s="33"/>
      <c r="BD196" s="33"/>
      <c r="BE196" s="33"/>
      <c r="BF196" s="33"/>
      <c r="BG196" s="33"/>
      <c r="BH196" s="33"/>
      <c r="BI196" s="33"/>
      <c r="BJ196" s="33"/>
    </row>
    <row r="197" spans="1:62" s="36" customFormat="1" x14ac:dyDescent="0.3">
      <c r="A197" s="222">
        <v>4262</v>
      </c>
      <c r="B197" s="249" t="s">
        <v>28</v>
      </c>
      <c r="C197" s="224">
        <v>0</v>
      </c>
      <c r="D197" s="234">
        <v>0</v>
      </c>
      <c r="E197" s="233">
        <v>0</v>
      </c>
      <c r="F197" s="234">
        <v>0</v>
      </c>
      <c r="G197" s="228">
        <v>0</v>
      </c>
      <c r="H197" s="234">
        <v>0</v>
      </c>
      <c r="I197" s="233">
        <v>0</v>
      </c>
      <c r="J197" s="234">
        <v>0</v>
      </c>
      <c r="K197" s="234">
        <v>0</v>
      </c>
      <c r="L197" s="234">
        <v>0</v>
      </c>
      <c r="M197" s="234">
        <v>0</v>
      </c>
      <c r="N197" s="234">
        <v>0</v>
      </c>
      <c r="O197" s="234">
        <v>0</v>
      </c>
      <c r="P197" s="234">
        <v>0</v>
      </c>
      <c r="Q197" s="224">
        <v>0</v>
      </c>
      <c r="R197" s="191">
        <v>0</v>
      </c>
      <c r="S197" s="191">
        <v>0</v>
      </c>
      <c r="T197" s="229">
        <v>0</v>
      </c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F197" s="31"/>
      <c r="AG197" s="31"/>
      <c r="AH197" s="31"/>
      <c r="AI197" s="31"/>
      <c r="AJ197" s="31"/>
      <c r="AK197" s="31"/>
      <c r="AL197" s="31"/>
      <c r="AM197" s="31"/>
      <c r="AN197" s="31"/>
      <c r="AO197" s="31"/>
      <c r="AP197" s="31"/>
      <c r="AQ197" s="31"/>
      <c r="AR197" s="31"/>
      <c r="AS197" s="31"/>
      <c r="AT197" s="31"/>
      <c r="AU197" s="31"/>
      <c r="AV197" s="31"/>
      <c r="AW197" s="31"/>
      <c r="AX197" s="31"/>
      <c r="AY197" s="31"/>
      <c r="AZ197" s="31"/>
      <c r="BA197" s="31"/>
      <c r="BB197" s="31"/>
      <c r="BC197" s="31"/>
      <c r="BD197" s="31"/>
      <c r="BE197" s="31"/>
      <c r="BF197" s="31"/>
      <c r="BG197" s="31"/>
      <c r="BH197" s="31"/>
      <c r="BI197" s="31"/>
      <c r="BJ197" s="31"/>
    </row>
    <row r="198" spans="1:62" ht="19.5" thickBot="1" x14ac:dyDescent="0.35">
      <c r="A198" s="94">
        <v>42621</v>
      </c>
      <c r="B198" s="254" t="s">
        <v>28</v>
      </c>
      <c r="C198" s="125">
        <v>0</v>
      </c>
      <c r="D198" s="68">
        <v>0</v>
      </c>
      <c r="E198" s="68">
        <v>0</v>
      </c>
      <c r="F198" s="68">
        <v>0</v>
      </c>
      <c r="G198" s="123">
        <v>0</v>
      </c>
      <c r="H198" s="68">
        <v>0</v>
      </c>
      <c r="I198" s="68">
        <v>0</v>
      </c>
      <c r="J198" s="68">
        <v>0</v>
      </c>
      <c r="K198" s="68">
        <v>0</v>
      </c>
      <c r="L198" s="68">
        <v>0</v>
      </c>
      <c r="M198" s="68">
        <v>0</v>
      </c>
      <c r="N198" s="68">
        <v>0</v>
      </c>
      <c r="O198" s="68">
        <v>0</v>
      </c>
      <c r="P198" s="68">
        <v>0</v>
      </c>
      <c r="Q198" s="125">
        <v>0</v>
      </c>
      <c r="R198" s="190">
        <v>0</v>
      </c>
      <c r="S198" s="190">
        <v>0</v>
      </c>
      <c r="T198" s="217">
        <v>0</v>
      </c>
    </row>
    <row r="199" spans="1:62" ht="19.5" thickBot="1" x14ac:dyDescent="0.35">
      <c r="A199" s="255"/>
      <c r="B199" s="256" t="s">
        <v>25</v>
      </c>
      <c r="C199" s="182">
        <v>1793598</v>
      </c>
      <c r="D199" s="220">
        <f>D22</f>
        <v>90000</v>
      </c>
      <c r="E199" s="119">
        <f>E22</f>
        <v>142270</v>
      </c>
      <c r="F199" s="71">
        <f>F22</f>
        <v>2000</v>
      </c>
      <c r="G199" s="183">
        <f>G22+G169</f>
        <v>116720</v>
      </c>
      <c r="H199" s="71">
        <v>0</v>
      </c>
      <c r="I199" s="119">
        <f>I169+I22</f>
        <v>1428200</v>
      </c>
      <c r="J199" s="119">
        <f>J22</f>
        <v>0</v>
      </c>
      <c r="K199" s="71">
        <f>K22</f>
        <v>0</v>
      </c>
      <c r="L199" s="71">
        <f>L22</f>
        <v>2000</v>
      </c>
      <c r="M199" s="71">
        <f>M169</f>
        <v>2000</v>
      </c>
      <c r="N199" s="71">
        <v>0</v>
      </c>
      <c r="O199" s="71">
        <f>O22</f>
        <v>0</v>
      </c>
      <c r="P199" s="71">
        <f>P22</f>
        <v>0</v>
      </c>
      <c r="Q199" s="182">
        <v>1789545</v>
      </c>
      <c r="R199" s="182">
        <v>1783190</v>
      </c>
      <c r="S199" s="182">
        <v>1381608.6004379853</v>
      </c>
      <c r="T199" s="184">
        <v>643449.23883469368</v>
      </c>
    </row>
    <row r="200" spans="1:62" s="31" customFormat="1" ht="14.25" customHeight="1" thickBot="1" x14ac:dyDescent="0.35">
      <c r="A200" s="49"/>
      <c r="B200" s="50"/>
      <c r="C200" s="23"/>
      <c r="D200" s="51"/>
      <c r="E200" s="51"/>
      <c r="F200" s="51"/>
      <c r="G200" s="51"/>
      <c r="H200" s="51"/>
      <c r="I200" s="51"/>
      <c r="J200" s="51"/>
      <c r="K200" s="51"/>
      <c r="L200" s="51"/>
      <c r="M200" s="51"/>
      <c r="N200" s="51"/>
      <c r="O200" s="51"/>
      <c r="P200" s="51"/>
      <c r="Q200" s="51"/>
    </row>
    <row r="201" spans="1:62" s="31" customFormat="1" ht="14.25" customHeight="1" x14ac:dyDescent="0.3">
      <c r="A201" s="368" t="s">
        <v>204</v>
      </c>
      <c r="B201" s="369"/>
      <c r="C201" s="369"/>
      <c r="D201" s="369"/>
      <c r="E201" s="369"/>
      <c r="F201" s="370"/>
      <c r="G201" s="377">
        <v>-12000</v>
      </c>
      <c r="H201" s="51"/>
      <c r="I201" s="51"/>
      <c r="J201" s="51"/>
      <c r="K201" s="51"/>
      <c r="L201" s="51"/>
      <c r="M201" s="51"/>
      <c r="N201" s="51"/>
      <c r="O201" s="51"/>
      <c r="P201" s="51"/>
      <c r="Q201" s="51"/>
    </row>
    <row r="202" spans="1:62" s="31" customFormat="1" ht="14.25" customHeight="1" x14ac:dyDescent="0.3">
      <c r="A202" s="371"/>
      <c r="B202" s="372"/>
      <c r="C202" s="372"/>
      <c r="D202" s="372"/>
      <c r="E202" s="372"/>
      <c r="F202" s="373"/>
      <c r="G202" s="378"/>
      <c r="H202" s="51"/>
      <c r="I202" s="51"/>
      <c r="J202" s="51"/>
      <c r="K202" s="51"/>
      <c r="L202" s="51"/>
      <c r="M202" s="51"/>
      <c r="N202" s="51"/>
      <c r="O202" s="51"/>
      <c r="P202" s="51"/>
      <c r="Q202" s="51"/>
    </row>
    <row r="203" spans="1:62" s="31" customFormat="1" ht="14.25" customHeight="1" thickBot="1" x14ac:dyDescent="0.35">
      <c r="A203" s="374"/>
      <c r="B203" s="375"/>
      <c r="C203" s="375"/>
      <c r="D203" s="375"/>
      <c r="E203" s="375"/>
      <c r="F203" s="376"/>
      <c r="G203" s="379"/>
      <c r="H203" s="51"/>
      <c r="I203" s="51"/>
      <c r="J203" s="51"/>
      <c r="K203" s="51"/>
      <c r="L203" s="51"/>
      <c r="M203" s="51"/>
      <c r="N203" s="51"/>
      <c r="O203" s="51"/>
      <c r="P203" s="51"/>
      <c r="Q203" s="51"/>
    </row>
    <row r="204" spans="1:62" s="31" customFormat="1" ht="14.25" customHeight="1" x14ac:dyDescent="0.3">
      <c r="A204" s="49"/>
      <c r="B204" s="50"/>
      <c r="C204" s="23"/>
      <c r="D204" s="51"/>
      <c r="E204" s="51"/>
      <c r="F204" s="51"/>
      <c r="G204" s="51"/>
      <c r="H204" s="51"/>
      <c r="I204" s="51"/>
      <c r="J204" s="51"/>
      <c r="K204" s="51"/>
      <c r="L204" s="51"/>
      <c r="M204" s="51"/>
      <c r="N204" s="51"/>
      <c r="O204" s="51"/>
      <c r="P204" s="51"/>
      <c r="Q204" s="51"/>
    </row>
    <row r="205" spans="1:62" s="31" customFormat="1" ht="14.25" customHeight="1" x14ac:dyDescent="0.35">
      <c r="A205" s="84"/>
      <c r="B205" s="85"/>
      <c r="C205" s="23"/>
      <c r="D205" s="51"/>
      <c r="E205" s="51"/>
      <c r="F205" s="51"/>
      <c r="G205" s="51"/>
      <c r="H205" s="51"/>
      <c r="I205" s="51"/>
      <c r="J205" s="51"/>
      <c r="K205" s="51"/>
      <c r="L205" s="51"/>
      <c r="M205" s="51"/>
      <c r="N205" s="51"/>
      <c r="O205" s="51"/>
      <c r="P205" s="51"/>
      <c r="Q205" s="51"/>
    </row>
    <row r="206" spans="1:62" x14ac:dyDescent="0.3">
      <c r="A206" s="367" t="s">
        <v>259</v>
      </c>
      <c r="B206" s="367"/>
      <c r="C206" s="347"/>
      <c r="D206" s="348"/>
      <c r="E206" s="349"/>
      <c r="F206" s="364" t="s">
        <v>257</v>
      </c>
      <c r="G206" s="364"/>
      <c r="H206" s="7"/>
      <c r="I206" s="30"/>
      <c r="J206" s="30"/>
      <c r="K206" s="30"/>
      <c r="L206" s="30"/>
      <c r="M206" s="30"/>
    </row>
    <row r="207" spans="1:62" x14ac:dyDescent="0.3">
      <c r="A207" s="352"/>
      <c r="B207" s="353"/>
      <c r="C207" s="347"/>
      <c r="D207" s="52" t="s">
        <v>10</v>
      </c>
      <c r="E207" s="349"/>
      <c r="F207" s="345"/>
      <c r="G207" s="346"/>
      <c r="H207" s="7"/>
      <c r="I207" s="30"/>
      <c r="J207" s="30"/>
      <c r="K207" s="30"/>
      <c r="L207" s="30"/>
      <c r="M207" s="30"/>
      <c r="N207" s="53"/>
      <c r="O207" s="53"/>
      <c r="P207" s="53"/>
      <c r="Q207" s="53"/>
    </row>
    <row r="208" spans="1:62" x14ac:dyDescent="0.3">
      <c r="A208" s="367" t="s">
        <v>156</v>
      </c>
      <c r="B208" s="367"/>
      <c r="C208" s="347"/>
      <c r="D208" s="348"/>
      <c r="E208" s="349"/>
      <c r="F208" s="364" t="s">
        <v>156</v>
      </c>
      <c r="G208" s="364"/>
      <c r="H208" s="7"/>
      <c r="I208" s="30"/>
      <c r="J208" s="30"/>
      <c r="K208" s="30"/>
      <c r="L208" s="30"/>
      <c r="M208" s="30"/>
      <c r="N208" s="53"/>
      <c r="O208" s="53"/>
      <c r="P208" s="53"/>
      <c r="Q208" s="53"/>
    </row>
    <row r="209" spans="1:13" ht="25.5" customHeight="1" x14ac:dyDescent="0.3">
      <c r="A209" s="365" t="s">
        <v>157</v>
      </c>
      <c r="B209" s="365"/>
      <c r="C209" s="350" t="s">
        <v>261</v>
      </c>
      <c r="D209" s="348"/>
      <c r="E209" s="349"/>
      <c r="F209" s="365" t="s">
        <v>258</v>
      </c>
      <c r="G209" s="365"/>
      <c r="H209" s="7"/>
      <c r="I209" s="9"/>
      <c r="J209" s="9"/>
      <c r="K209" s="9"/>
      <c r="L209" s="9"/>
      <c r="M209" s="9"/>
    </row>
    <row r="210" spans="1:13" ht="25.5" customHeight="1" x14ac:dyDescent="0.3">
      <c r="A210" s="365"/>
      <c r="B210" s="365"/>
      <c r="C210" s="351"/>
      <c r="D210" s="348"/>
      <c r="E210" s="349"/>
      <c r="F210" s="365"/>
      <c r="G210" s="365"/>
      <c r="H210" s="7"/>
      <c r="I210" s="9"/>
      <c r="J210" s="9"/>
      <c r="K210" s="9"/>
      <c r="L210" s="9"/>
      <c r="M210" s="9"/>
    </row>
    <row r="211" spans="1:13" ht="26.25" x14ac:dyDescent="0.4">
      <c r="A211" s="263"/>
      <c r="B211" s="87"/>
      <c r="D211" s="54"/>
      <c r="E211" s="54"/>
      <c r="F211" s="54"/>
      <c r="G211" s="54"/>
      <c r="H211" s="54"/>
      <c r="I211" s="7"/>
      <c r="J211" s="7"/>
      <c r="K211" s="7"/>
      <c r="L211" s="7"/>
      <c r="M211" s="7"/>
    </row>
    <row r="212" spans="1:13" ht="26.25" x14ac:dyDescent="0.4">
      <c r="A212" s="88"/>
      <c r="B212" s="89"/>
      <c r="E212" s="28"/>
      <c r="F212" s="28"/>
      <c r="G212" s="28"/>
      <c r="H212" s="28"/>
    </row>
    <row r="213" spans="1:13" x14ac:dyDescent="0.3">
      <c r="E213" s="28"/>
      <c r="F213" s="28"/>
      <c r="G213" s="28"/>
      <c r="H213" s="28"/>
    </row>
  </sheetData>
  <mergeCells count="17">
    <mergeCell ref="A206:B206"/>
    <mergeCell ref="A208:B208"/>
    <mergeCell ref="A209:B210"/>
    <mergeCell ref="M8:Q8"/>
    <mergeCell ref="M9:Q9"/>
    <mergeCell ref="M11:Q11"/>
    <mergeCell ref="M12:Q12"/>
    <mergeCell ref="A201:F203"/>
    <mergeCell ref="G201:G203"/>
    <mergeCell ref="F206:G206"/>
    <mergeCell ref="F208:G208"/>
    <mergeCell ref="F209:G210"/>
    <mergeCell ref="A1:C1"/>
    <mergeCell ref="B3:G3"/>
    <mergeCell ref="A6:D6"/>
    <mergeCell ref="M7:Q7"/>
    <mergeCell ref="A2:T2"/>
  </mergeCells>
  <pageMargins left="0.70866141732283472" right="0.70866141732283472" top="0.74803149606299213" bottom="0.74803149606299213" header="0.31496062992125984" footer="0.31496062992125984"/>
  <pageSetup paperSize="8" scale="5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DA722-5F00-4278-B9A2-8292F00D0FFE}">
  <dimension ref="A2:E33"/>
  <sheetViews>
    <sheetView workbookViewId="0">
      <selection activeCell="D17" sqref="D17"/>
    </sheetView>
  </sheetViews>
  <sheetFormatPr defaultRowHeight="12.75" x14ac:dyDescent="0.2"/>
  <cols>
    <col min="1" max="1" width="78.5703125" customWidth="1"/>
    <col min="2" max="2" width="25.28515625" customWidth="1"/>
    <col min="3" max="3" width="27.85546875" customWidth="1"/>
    <col min="4" max="4" width="29.28515625" customWidth="1"/>
    <col min="5" max="5" width="11" bestFit="1" customWidth="1"/>
  </cols>
  <sheetData>
    <row r="2" spans="1:5" ht="21" x14ac:dyDescent="0.35">
      <c r="A2" s="380" t="s">
        <v>263</v>
      </c>
      <c r="B2" s="380"/>
      <c r="C2" s="380"/>
      <c r="D2" s="380"/>
    </row>
    <row r="3" spans="1:5" ht="21" x14ac:dyDescent="0.35">
      <c r="A3" s="380" t="s">
        <v>218</v>
      </c>
      <c r="B3" s="380"/>
      <c r="C3" s="380"/>
      <c r="D3" s="380"/>
    </row>
    <row r="4" spans="1:5" ht="20.25" x14ac:dyDescent="0.3">
      <c r="A4" s="381"/>
      <c r="B4" s="381"/>
      <c r="C4" s="381"/>
      <c r="D4" s="381"/>
      <c r="E4" s="130"/>
    </row>
    <row r="5" spans="1:5" ht="20.25" x14ac:dyDescent="0.3">
      <c r="A5" s="381" t="s">
        <v>178</v>
      </c>
      <c r="B5" s="381"/>
      <c r="C5" s="381"/>
      <c r="D5" s="381"/>
    </row>
    <row r="6" spans="1:5" ht="21" thickBot="1" x14ac:dyDescent="0.35">
      <c r="A6" s="131"/>
      <c r="B6" s="180" t="s">
        <v>206</v>
      </c>
      <c r="C6" s="180" t="s">
        <v>206</v>
      </c>
      <c r="D6" s="180" t="s">
        <v>206</v>
      </c>
    </row>
    <row r="7" spans="1:5" ht="41.25" thickBot="1" x14ac:dyDescent="0.35">
      <c r="A7" s="161"/>
      <c r="B7" s="162" t="s">
        <v>202</v>
      </c>
      <c r="C7" s="162" t="s">
        <v>190</v>
      </c>
      <c r="D7" s="163" t="s">
        <v>203</v>
      </c>
    </row>
    <row r="8" spans="1:5" ht="20.25" x14ac:dyDescent="0.3">
      <c r="A8" s="164" t="s">
        <v>179</v>
      </c>
      <c r="B8" s="165">
        <f>B9</f>
        <v>13423450.131000001</v>
      </c>
      <c r="C8" s="165">
        <f>C9</f>
        <v>13392912.8025</v>
      </c>
      <c r="D8" s="166">
        <f>D9</f>
        <v>13345031.055000002</v>
      </c>
    </row>
    <row r="9" spans="1:5" ht="20.25" x14ac:dyDescent="0.3">
      <c r="A9" s="167" t="s">
        <v>180</v>
      </c>
      <c r="B9" s="132">
        <f>1781598*7.5345</f>
        <v>13423450.131000001</v>
      </c>
      <c r="C9" s="132">
        <f>1777545*7.5345</f>
        <v>13392912.8025</v>
      </c>
      <c r="D9" s="168">
        <f>1771190*7.5345</f>
        <v>13345031.055000002</v>
      </c>
    </row>
    <row r="10" spans="1:5" ht="20.25" x14ac:dyDescent="0.3">
      <c r="A10" s="167" t="s">
        <v>181</v>
      </c>
      <c r="B10" s="133"/>
      <c r="C10" s="133"/>
      <c r="D10" s="134"/>
    </row>
    <row r="11" spans="1:5" ht="20.25" x14ac:dyDescent="0.3">
      <c r="A11" s="169" t="s">
        <v>182</v>
      </c>
      <c r="B11" s="132">
        <f>B12+B13</f>
        <v>13513864.131000001</v>
      </c>
      <c r="C11" s="132">
        <f>C12+C13</f>
        <v>13483326.802500002</v>
      </c>
      <c r="D11" s="168">
        <f>D12+D13</f>
        <v>13435445.055000002</v>
      </c>
    </row>
    <row r="12" spans="1:5" ht="20.25" x14ac:dyDescent="0.3">
      <c r="A12" s="167" t="s">
        <v>183</v>
      </c>
      <c r="B12" s="133">
        <f>1790198*7.5345</f>
        <v>13488246.831</v>
      </c>
      <c r="C12" s="133">
        <f>1786145*7.5345</f>
        <v>13457709.502500001</v>
      </c>
      <c r="D12" s="134">
        <f>1779790*7.5345</f>
        <v>13409827.755000001</v>
      </c>
    </row>
    <row r="13" spans="1:5" ht="20.25" x14ac:dyDescent="0.3">
      <c r="A13" s="167" t="s">
        <v>184</v>
      </c>
      <c r="B13" s="133">
        <f>3400*7.5345</f>
        <v>25617.300000000003</v>
      </c>
      <c r="C13" s="133">
        <f>3400*7.5345</f>
        <v>25617.300000000003</v>
      </c>
      <c r="D13" s="134">
        <f>3400*7.5345</f>
        <v>25617.300000000003</v>
      </c>
    </row>
    <row r="14" spans="1:5" ht="21" thickBot="1" x14ac:dyDescent="0.35">
      <c r="A14" s="322" t="s">
        <v>185</v>
      </c>
      <c r="B14" s="171">
        <f>B8-B11</f>
        <v>-90414</v>
      </c>
      <c r="C14" s="171">
        <f>C8-C11</f>
        <v>-90414.000000001863</v>
      </c>
      <c r="D14" s="172">
        <f>D8-D11</f>
        <v>-90414</v>
      </c>
    </row>
    <row r="15" spans="1:5" s="319" customFormat="1" ht="37.5" customHeight="1" x14ac:dyDescent="0.3">
      <c r="A15" s="320" t="s">
        <v>217</v>
      </c>
      <c r="B15" s="317">
        <f>11397.27*7.5345</f>
        <v>85872.730815000003</v>
      </c>
      <c r="C15" s="317"/>
      <c r="D15" s="318"/>
    </row>
    <row r="16" spans="1:5" s="319" customFormat="1" ht="42" customHeight="1" thickBot="1" x14ac:dyDescent="0.35">
      <c r="A16" s="321" t="s">
        <v>216</v>
      </c>
      <c r="B16" s="270">
        <f>12000*7.5345</f>
        <v>90414</v>
      </c>
      <c r="C16" s="270">
        <f>12000*7.5345</f>
        <v>90414</v>
      </c>
      <c r="D16" s="271">
        <f>12000*7.5345</f>
        <v>90414</v>
      </c>
    </row>
    <row r="17" spans="1:4" ht="41.25" thickBot="1" x14ac:dyDescent="0.35">
      <c r="A17" s="313"/>
      <c r="B17" s="314" t="s">
        <v>202</v>
      </c>
      <c r="C17" s="315" t="s">
        <v>190</v>
      </c>
      <c r="D17" s="316" t="s">
        <v>203</v>
      </c>
    </row>
    <row r="18" spans="1:4" ht="21.75" thickTop="1" thickBot="1" x14ac:dyDescent="0.35">
      <c r="A18" s="135" t="s">
        <v>186</v>
      </c>
      <c r="B18" s="136"/>
      <c r="C18" s="136">
        <v>0</v>
      </c>
      <c r="D18" s="137">
        <v>0</v>
      </c>
    </row>
    <row r="19" spans="1:4" ht="21.75" thickTop="1" thickBot="1" x14ac:dyDescent="0.35">
      <c r="A19" s="138" t="s">
        <v>187</v>
      </c>
      <c r="B19" s="139"/>
      <c r="C19" s="139">
        <v>0</v>
      </c>
      <c r="D19" s="140">
        <v>0</v>
      </c>
    </row>
    <row r="20" spans="1:4" ht="21.75" thickTop="1" thickBot="1" x14ac:dyDescent="0.35">
      <c r="A20" s="141" t="s">
        <v>188</v>
      </c>
      <c r="B20" s="142"/>
      <c r="C20" s="142">
        <v>0</v>
      </c>
      <c r="D20" s="143">
        <v>0</v>
      </c>
    </row>
    <row r="21" spans="1:4" ht="21" thickBot="1" x14ac:dyDescent="0.35">
      <c r="A21" s="177"/>
      <c r="B21" s="144"/>
      <c r="C21" s="144"/>
      <c r="D21" s="178"/>
    </row>
    <row r="22" spans="1:4" ht="21" thickBot="1" x14ac:dyDescent="0.35">
      <c r="A22" s="145" t="s">
        <v>189</v>
      </c>
      <c r="B22" s="146"/>
      <c r="C22" s="146">
        <v>0</v>
      </c>
      <c r="D22" s="147">
        <v>0</v>
      </c>
    </row>
    <row r="23" spans="1:4" ht="20.25" x14ac:dyDescent="0.3">
      <c r="A23" s="148"/>
      <c r="B23" s="149"/>
      <c r="C23" s="149"/>
      <c r="D23" s="149"/>
    </row>
    <row r="24" spans="1:4" ht="20.25" x14ac:dyDescent="0.3">
      <c r="A24" s="148"/>
      <c r="B24" s="149"/>
      <c r="C24" s="149"/>
      <c r="D24" s="149"/>
    </row>
    <row r="25" spans="1:4" ht="20.25" x14ac:dyDescent="0.3">
      <c r="A25" s="131"/>
      <c r="B25" s="131"/>
      <c r="C25" s="131"/>
      <c r="D25" s="131"/>
    </row>
    <row r="26" spans="1:4" ht="20.25" x14ac:dyDescent="0.3">
      <c r="A26" s="150" t="s">
        <v>191</v>
      </c>
      <c r="B26" s="150"/>
      <c r="C26" s="150"/>
      <c r="D26" s="150"/>
    </row>
    <row r="27" spans="1:4" ht="20.25" x14ac:dyDescent="0.3">
      <c r="A27" s="150"/>
      <c r="B27" s="150"/>
      <c r="C27" s="150"/>
      <c r="D27" s="150"/>
    </row>
    <row r="28" spans="1:4" s="319" customFormat="1" ht="20.25" x14ac:dyDescent="0.3">
      <c r="A28" s="150" t="s">
        <v>260</v>
      </c>
      <c r="B28" s="150"/>
      <c r="C28" s="150"/>
      <c r="D28" s="150"/>
    </row>
    <row r="29" spans="1:4" s="319" customFormat="1" ht="20.25" x14ac:dyDescent="0.3">
      <c r="A29" s="150"/>
      <c r="B29" s="150"/>
      <c r="C29" s="150"/>
      <c r="D29" s="150"/>
    </row>
    <row r="30" spans="1:4" ht="18" x14ac:dyDescent="0.25">
      <c r="A30" s="151" t="s">
        <v>264</v>
      </c>
    </row>
    <row r="31" spans="1:4" ht="18" x14ac:dyDescent="0.25">
      <c r="A31" s="151"/>
    </row>
    <row r="32" spans="1:4" ht="18" x14ac:dyDescent="0.25">
      <c r="A32" s="151"/>
    </row>
    <row r="33" spans="1:1" x14ac:dyDescent="0.2">
      <c r="A33" s="354"/>
    </row>
  </sheetData>
  <mergeCells count="4">
    <mergeCell ref="A2:D2"/>
    <mergeCell ref="A3:D3"/>
    <mergeCell ref="A4:D4"/>
    <mergeCell ref="A5:D5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E30"/>
  <sheetViews>
    <sheetView tabSelected="1" workbookViewId="0">
      <selection activeCell="K9" sqref="K9"/>
    </sheetView>
  </sheetViews>
  <sheetFormatPr defaultRowHeight="12.75" x14ac:dyDescent="0.2"/>
  <cols>
    <col min="1" max="1" width="78.5703125" customWidth="1"/>
    <col min="2" max="2" width="25.28515625" customWidth="1"/>
    <col min="3" max="3" width="27.85546875" customWidth="1"/>
    <col min="4" max="4" width="29.28515625" customWidth="1"/>
    <col min="5" max="5" width="11" bestFit="1" customWidth="1"/>
  </cols>
  <sheetData>
    <row r="2" spans="1:5" ht="21" x14ac:dyDescent="0.35">
      <c r="A2" s="380" t="s">
        <v>265</v>
      </c>
      <c r="B2" s="380"/>
      <c r="C2" s="380"/>
      <c r="D2" s="380"/>
    </row>
    <row r="3" spans="1:5" ht="21" x14ac:dyDescent="0.35">
      <c r="A3" s="380" t="s">
        <v>218</v>
      </c>
      <c r="B3" s="380"/>
      <c r="C3" s="380"/>
      <c r="D3" s="380"/>
    </row>
    <row r="4" spans="1:5" ht="20.25" x14ac:dyDescent="0.3">
      <c r="A4" s="381"/>
      <c r="B4" s="381"/>
      <c r="C4" s="381"/>
      <c r="D4" s="381"/>
      <c r="E4" s="130"/>
    </row>
    <row r="5" spans="1:5" ht="20.25" x14ac:dyDescent="0.3">
      <c r="A5" s="381" t="s">
        <v>178</v>
      </c>
      <c r="B5" s="381"/>
      <c r="C5" s="381"/>
      <c r="D5" s="381"/>
    </row>
    <row r="6" spans="1:5" ht="21" thickBot="1" x14ac:dyDescent="0.35">
      <c r="A6" s="131"/>
      <c r="B6" s="180" t="s">
        <v>205</v>
      </c>
      <c r="C6" s="180" t="s">
        <v>205</v>
      </c>
      <c r="D6" s="180" t="s">
        <v>205</v>
      </c>
    </row>
    <row r="7" spans="1:5" ht="41.25" thickBot="1" x14ac:dyDescent="0.35">
      <c r="A7" s="161"/>
      <c r="B7" s="162" t="s">
        <v>202</v>
      </c>
      <c r="C7" s="162" t="s">
        <v>190</v>
      </c>
      <c r="D7" s="163" t="s">
        <v>203</v>
      </c>
    </row>
    <row r="8" spans="1:5" ht="20.25" x14ac:dyDescent="0.3">
      <c r="A8" s="164" t="s">
        <v>179</v>
      </c>
      <c r="B8" s="165">
        <f>B9</f>
        <v>1781598</v>
      </c>
      <c r="C8" s="165">
        <f>C9</f>
        <v>1777545</v>
      </c>
      <c r="D8" s="166">
        <f>D9</f>
        <v>1771190</v>
      </c>
    </row>
    <row r="9" spans="1:5" ht="20.25" x14ac:dyDescent="0.3">
      <c r="A9" s="167" t="s">
        <v>180</v>
      </c>
      <c r="B9" s="132">
        <v>1781598</v>
      </c>
      <c r="C9" s="132">
        <v>1777545</v>
      </c>
      <c r="D9" s="168">
        <v>1771190</v>
      </c>
    </row>
    <row r="10" spans="1:5" ht="20.25" x14ac:dyDescent="0.3">
      <c r="A10" s="167" t="s">
        <v>181</v>
      </c>
      <c r="B10" s="133"/>
      <c r="C10" s="133"/>
      <c r="D10" s="134"/>
    </row>
    <row r="11" spans="1:5" ht="20.25" x14ac:dyDescent="0.3">
      <c r="A11" s="169" t="s">
        <v>182</v>
      </c>
      <c r="B11" s="132">
        <f>B12+B13</f>
        <v>1793598</v>
      </c>
      <c r="C11" s="132">
        <f>C12+C13</f>
        <v>1789545</v>
      </c>
      <c r="D11" s="168">
        <f>D12+D13</f>
        <v>1783190</v>
      </c>
    </row>
    <row r="12" spans="1:5" ht="20.25" x14ac:dyDescent="0.3">
      <c r="A12" s="167" t="s">
        <v>183</v>
      </c>
      <c r="B12" s="133">
        <v>1790198</v>
      </c>
      <c r="C12" s="133">
        <v>1786145</v>
      </c>
      <c r="D12" s="134">
        <v>1779790</v>
      </c>
    </row>
    <row r="13" spans="1:5" ht="20.25" x14ac:dyDescent="0.3">
      <c r="A13" s="167" t="s">
        <v>184</v>
      </c>
      <c r="B13" s="133">
        <v>3400</v>
      </c>
      <c r="C13" s="133">
        <v>3400</v>
      </c>
      <c r="D13" s="134">
        <v>3400</v>
      </c>
    </row>
    <row r="14" spans="1:5" ht="21" thickBot="1" x14ac:dyDescent="0.35">
      <c r="A14" s="170" t="s">
        <v>185</v>
      </c>
      <c r="B14" s="171">
        <f>B8-B11</f>
        <v>-12000</v>
      </c>
      <c r="C14" s="171">
        <f>C8-C11</f>
        <v>-12000</v>
      </c>
      <c r="D14" s="172">
        <f>D8-D11</f>
        <v>-12000</v>
      </c>
    </row>
    <row r="15" spans="1:5" ht="40.5" x14ac:dyDescent="0.3">
      <c r="A15" s="320" t="s">
        <v>217</v>
      </c>
      <c r="B15" s="317">
        <v>11397.27</v>
      </c>
      <c r="C15" s="317"/>
      <c r="D15" s="318"/>
    </row>
    <row r="16" spans="1:5" ht="41.25" thickBot="1" x14ac:dyDescent="0.35">
      <c r="A16" s="321" t="s">
        <v>216</v>
      </c>
      <c r="B16" s="270">
        <v>12000</v>
      </c>
      <c r="C16" s="270">
        <v>12000</v>
      </c>
      <c r="D16" s="271">
        <v>12000</v>
      </c>
    </row>
    <row r="17" spans="1:4" ht="41.25" thickBot="1" x14ac:dyDescent="0.35">
      <c r="A17" s="313"/>
      <c r="B17" s="314" t="s">
        <v>202</v>
      </c>
      <c r="C17" s="315" t="s">
        <v>190</v>
      </c>
      <c r="D17" s="316" t="s">
        <v>203</v>
      </c>
    </row>
    <row r="18" spans="1:4" ht="21.75" thickTop="1" thickBot="1" x14ac:dyDescent="0.35">
      <c r="A18" s="135" t="s">
        <v>186</v>
      </c>
      <c r="B18" s="136"/>
      <c r="C18" s="136">
        <v>0</v>
      </c>
      <c r="D18" s="137">
        <v>0</v>
      </c>
    </row>
    <row r="19" spans="1:4" ht="21.75" thickTop="1" thickBot="1" x14ac:dyDescent="0.35">
      <c r="A19" s="138" t="s">
        <v>187</v>
      </c>
      <c r="B19" s="139"/>
      <c r="C19" s="139">
        <v>0</v>
      </c>
      <c r="D19" s="140">
        <v>0</v>
      </c>
    </row>
    <row r="20" spans="1:4" ht="21.75" thickTop="1" thickBot="1" x14ac:dyDescent="0.35">
      <c r="A20" s="141" t="s">
        <v>188</v>
      </c>
      <c r="B20" s="142"/>
      <c r="C20" s="142">
        <v>0</v>
      </c>
      <c r="D20" s="143">
        <v>0</v>
      </c>
    </row>
    <row r="21" spans="1:4" ht="21" thickBot="1" x14ac:dyDescent="0.35">
      <c r="A21" s="177"/>
      <c r="B21" s="144"/>
      <c r="C21" s="144"/>
      <c r="D21" s="178"/>
    </row>
    <row r="22" spans="1:4" ht="21" thickBot="1" x14ac:dyDescent="0.35">
      <c r="A22" s="145" t="s">
        <v>189</v>
      </c>
      <c r="B22" s="146"/>
      <c r="C22" s="146">
        <v>0</v>
      </c>
      <c r="D22" s="147">
        <v>0</v>
      </c>
    </row>
    <row r="23" spans="1:4" ht="20.25" x14ac:dyDescent="0.3">
      <c r="A23" s="148"/>
      <c r="B23" s="149"/>
      <c r="C23" s="149"/>
      <c r="D23" s="149"/>
    </row>
    <row r="24" spans="1:4" ht="20.25" x14ac:dyDescent="0.3">
      <c r="A24" s="148"/>
      <c r="B24" s="149"/>
      <c r="C24" s="149"/>
      <c r="D24" s="149"/>
    </row>
    <row r="25" spans="1:4" ht="20.25" x14ac:dyDescent="0.3">
      <c r="A25" s="131"/>
      <c r="B25" s="131"/>
      <c r="C25" s="131"/>
      <c r="D25" s="131"/>
    </row>
    <row r="26" spans="1:4" ht="20.25" x14ac:dyDescent="0.3">
      <c r="A26" s="150" t="s">
        <v>191</v>
      </c>
      <c r="B26" s="150"/>
      <c r="C26" s="150"/>
      <c r="D26" s="150"/>
    </row>
    <row r="27" spans="1:4" ht="20.25" x14ac:dyDescent="0.3">
      <c r="A27" s="150"/>
      <c r="B27" s="150"/>
      <c r="C27" s="150"/>
      <c r="D27" s="150"/>
    </row>
    <row r="28" spans="1:4" ht="20.25" x14ac:dyDescent="0.3">
      <c r="A28" s="150" t="s">
        <v>260</v>
      </c>
      <c r="B28" s="150"/>
      <c r="C28" s="150"/>
    </row>
    <row r="29" spans="1:4" ht="20.25" x14ac:dyDescent="0.3">
      <c r="A29" s="150"/>
      <c r="B29" s="150"/>
      <c r="C29" s="150"/>
    </row>
    <row r="30" spans="1:4" ht="18" x14ac:dyDescent="0.25">
      <c r="A30" s="151" t="s">
        <v>264</v>
      </c>
      <c r="B30" s="319"/>
      <c r="C30" s="319"/>
    </row>
  </sheetData>
  <mergeCells count="4">
    <mergeCell ref="A2:D2"/>
    <mergeCell ref="A3:D3"/>
    <mergeCell ref="A4:D4"/>
    <mergeCell ref="A5:D5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6CFD2-B0E0-40DD-B39C-2258C3E82C7B}">
  <dimension ref="A1:E35"/>
  <sheetViews>
    <sheetView workbookViewId="0">
      <selection activeCell="A33" sqref="A33"/>
    </sheetView>
  </sheetViews>
  <sheetFormatPr defaultRowHeight="12.75" x14ac:dyDescent="0.2"/>
  <cols>
    <col min="1" max="1" width="20.85546875" customWidth="1"/>
    <col min="2" max="2" width="80.85546875" customWidth="1"/>
    <col min="3" max="3" width="27" customWidth="1"/>
    <col min="4" max="4" width="28.85546875" customWidth="1"/>
    <col min="5" max="5" width="26.28515625" customWidth="1"/>
  </cols>
  <sheetData>
    <row r="1" spans="1:5" ht="39" thickBot="1" x14ac:dyDescent="0.25">
      <c r="A1" s="323" t="s">
        <v>219</v>
      </c>
      <c r="B1" s="323" t="s">
        <v>220</v>
      </c>
      <c r="C1" s="323" t="s">
        <v>221</v>
      </c>
      <c r="D1" s="323" t="s">
        <v>222</v>
      </c>
      <c r="E1" s="323" t="s">
        <v>234</v>
      </c>
    </row>
    <row r="2" spans="1:5" ht="13.5" thickBot="1" x14ac:dyDescent="0.25">
      <c r="A2" s="324"/>
      <c r="B2" s="325"/>
      <c r="C2" s="326">
        <f>C3+C4+C5+C6+C7+C8+C9+C10+C12+C13+C14+C15+C16+C17+C18+C19+C21+C22+C23</f>
        <v>1793598</v>
      </c>
      <c r="D2" s="326">
        <f>D3+D4+D5+D6+D7+D8+D9+D10+D12+D13+D14+D15+D16+D17+D18+D19+D21+D22+D23</f>
        <v>1789545</v>
      </c>
      <c r="E2" s="327">
        <f>E3+E4+E5+E10+E12+E13+E14+E15+E16+E17+E18+E19+E21+E22+E23</f>
        <v>1783190</v>
      </c>
    </row>
    <row r="3" spans="1:5" ht="15.75" x14ac:dyDescent="0.2">
      <c r="A3" s="328">
        <v>63612</v>
      </c>
      <c r="B3" s="329" t="s">
        <v>223</v>
      </c>
      <c r="C3" s="330">
        <v>1427500</v>
      </c>
      <c r="D3" s="330">
        <v>1427500</v>
      </c>
      <c r="E3" s="331">
        <v>1427500</v>
      </c>
    </row>
    <row r="4" spans="1:5" ht="15.75" x14ac:dyDescent="0.2">
      <c r="A4" s="332">
        <v>636131</v>
      </c>
      <c r="B4" s="333" t="s">
        <v>224</v>
      </c>
      <c r="C4" s="334">
        <v>2000</v>
      </c>
      <c r="D4" s="334">
        <v>2000</v>
      </c>
      <c r="E4" s="335">
        <v>2000</v>
      </c>
    </row>
    <row r="5" spans="1:5" ht="15.75" x14ac:dyDescent="0.2">
      <c r="A5" s="332">
        <v>63622</v>
      </c>
      <c r="B5" s="333" t="s">
        <v>225</v>
      </c>
      <c r="C5" s="334">
        <v>700</v>
      </c>
      <c r="D5" s="334">
        <v>700</v>
      </c>
      <c r="E5" s="335">
        <v>700</v>
      </c>
    </row>
    <row r="6" spans="1:5" ht="15.75" x14ac:dyDescent="0.2">
      <c r="A6" s="332">
        <v>639311</v>
      </c>
      <c r="B6" s="336" t="s">
        <v>237</v>
      </c>
      <c r="C6" s="337">
        <v>7642</v>
      </c>
      <c r="D6" s="337">
        <v>4861</v>
      </c>
      <c r="E6" s="338">
        <v>0</v>
      </c>
    </row>
    <row r="7" spans="1:5" ht="15.75" x14ac:dyDescent="0.2">
      <c r="A7" s="332">
        <v>639312</v>
      </c>
      <c r="B7" s="336" t="s">
        <v>238</v>
      </c>
      <c r="C7" s="337">
        <v>1348</v>
      </c>
      <c r="D7" s="337">
        <v>858</v>
      </c>
      <c r="E7" s="338">
        <v>0</v>
      </c>
    </row>
    <row r="8" spans="1:5" s="319" customFormat="1" ht="15.75" x14ac:dyDescent="0.2">
      <c r="A8" s="332">
        <v>639311</v>
      </c>
      <c r="B8" s="336" t="s">
        <v>239</v>
      </c>
      <c r="C8" s="337">
        <v>398</v>
      </c>
      <c r="D8" s="337">
        <v>0</v>
      </c>
      <c r="E8" s="338">
        <v>0</v>
      </c>
    </row>
    <row r="9" spans="1:5" s="319" customFormat="1" ht="15.75" x14ac:dyDescent="0.2">
      <c r="A9" s="332">
        <v>639312</v>
      </c>
      <c r="B9" s="336" t="s">
        <v>240</v>
      </c>
      <c r="C9" s="337">
        <v>20</v>
      </c>
      <c r="D9" s="337">
        <v>0</v>
      </c>
      <c r="E9" s="338">
        <v>0</v>
      </c>
    </row>
    <row r="10" spans="1:5" ht="15.75" x14ac:dyDescent="0.2">
      <c r="A10" s="332">
        <v>64143</v>
      </c>
      <c r="B10" s="336" t="s">
        <v>226</v>
      </c>
      <c r="C10" s="337">
        <v>500</v>
      </c>
      <c r="D10" s="337">
        <v>500</v>
      </c>
      <c r="E10" s="338">
        <v>500</v>
      </c>
    </row>
    <row r="11" spans="1:5" ht="15.75" x14ac:dyDescent="0.2">
      <c r="A11" s="332">
        <v>64151</v>
      </c>
      <c r="B11" s="333" t="s">
        <v>227</v>
      </c>
      <c r="C11" s="334">
        <v>0</v>
      </c>
      <c r="D11" s="334">
        <v>0</v>
      </c>
      <c r="E11" s="335">
        <v>0</v>
      </c>
    </row>
    <row r="12" spans="1:5" ht="15.75" x14ac:dyDescent="0.2">
      <c r="A12" s="332">
        <v>65264</v>
      </c>
      <c r="B12" s="333" t="s">
        <v>236</v>
      </c>
      <c r="C12" s="334">
        <v>102220</v>
      </c>
      <c r="D12" s="334">
        <v>102220</v>
      </c>
      <c r="E12" s="335">
        <v>102220</v>
      </c>
    </row>
    <row r="13" spans="1:5" ht="15.75" x14ac:dyDescent="0.2">
      <c r="A13" s="332">
        <v>66151</v>
      </c>
      <c r="B13" s="333" t="s">
        <v>228</v>
      </c>
      <c r="C13" s="334">
        <v>1500</v>
      </c>
      <c r="D13" s="334">
        <v>1500</v>
      </c>
      <c r="E13" s="335">
        <v>1500</v>
      </c>
    </row>
    <row r="14" spans="1:5" s="319" customFormat="1" ht="15.75" x14ac:dyDescent="0.2">
      <c r="A14" s="332">
        <v>66311</v>
      </c>
      <c r="B14" s="333" t="s">
        <v>241</v>
      </c>
      <c r="C14" s="334">
        <v>200</v>
      </c>
      <c r="D14" s="334">
        <v>200</v>
      </c>
      <c r="E14" s="335">
        <v>200</v>
      </c>
    </row>
    <row r="15" spans="1:5" s="319" customFormat="1" ht="15.75" x14ac:dyDescent="0.2">
      <c r="A15" s="332">
        <v>66312</v>
      </c>
      <c r="B15" s="333" t="s">
        <v>242</v>
      </c>
      <c r="C15" s="334">
        <v>200</v>
      </c>
      <c r="D15" s="334">
        <v>200</v>
      </c>
      <c r="E15" s="335">
        <v>200</v>
      </c>
    </row>
    <row r="16" spans="1:5" s="319" customFormat="1" ht="15.75" x14ac:dyDescent="0.2">
      <c r="A16" s="332">
        <v>66313</v>
      </c>
      <c r="B16" s="333" t="s">
        <v>243</v>
      </c>
      <c r="C16" s="334">
        <v>1400</v>
      </c>
      <c r="D16" s="334">
        <v>1400</v>
      </c>
      <c r="E16" s="335">
        <v>1400</v>
      </c>
    </row>
    <row r="17" spans="1:5" s="319" customFormat="1" ht="15.75" x14ac:dyDescent="0.2">
      <c r="A17" s="332">
        <v>66314</v>
      </c>
      <c r="B17" s="333" t="s">
        <v>244</v>
      </c>
      <c r="C17" s="334">
        <v>200</v>
      </c>
      <c r="D17" s="334">
        <v>200</v>
      </c>
      <c r="E17" s="335">
        <v>200</v>
      </c>
    </row>
    <row r="18" spans="1:5" ht="15.75" x14ac:dyDescent="0.2">
      <c r="A18" s="332">
        <v>671111</v>
      </c>
      <c r="B18" s="333" t="s">
        <v>229</v>
      </c>
      <c r="C18" s="334">
        <v>90000</v>
      </c>
      <c r="D18" s="334">
        <v>90000</v>
      </c>
      <c r="E18" s="335">
        <v>90000</v>
      </c>
    </row>
    <row r="19" spans="1:5" ht="15.75" x14ac:dyDescent="0.2">
      <c r="A19" s="332">
        <v>671112</v>
      </c>
      <c r="B19" s="339" t="s">
        <v>230</v>
      </c>
      <c r="C19" s="334">
        <v>143270</v>
      </c>
      <c r="D19" s="334">
        <v>142906</v>
      </c>
      <c r="E19" s="335">
        <v>142270</v>
      </c>
    </row>
    <row r="20" spans="1:5" ht="15.75" x14ac:dyDescent="0.2">
      <c r="A20" s="332">
        <v>67121</v>
      </c>
      <c r="B20" s="339" t="s">
        <v>231</v>
      </c>
      <c r="C20" s="334">
        <v>0</v>
      </c>
      <c r="D20" s="334">
        <v>0</v>
      </c>
      <c r="E20" s="335">
        <v>0</v>
      </c>
    </row>
    <row r="21" spans="1:5" ht="15.75" x14ac:dyDescent="0.2">
      <c r="A21" s="332">
        <v>68311</v>
      </c>
      <c r="B21" s="333" t="s">
        <v>232</v>
      </c>
      <c r="C21" s="334">
        <v>500</v>
      </c>
      <c r="D21" s="334">
        <v>500</v>
      </c>
      <c r="E21" s="335">
        <v>500</v>
      </c>
    </row>
    <row r="22" spans="1:5" s="319" customFormat="1" ht="15.75" x14ac:dyDescent="0.2">
      <c r="A22" s="332">
        <v>72262</v>
      </c>
      <c r="B22" s="333" t="s">
        <v>235</v>
      </c>
      <c r="C22" s="334">
        <v>2000</v>
      </c>
      <c r="D22" s="334">
        <v>2000</v>
      </c>
      <c r="E22" s="335">
        <v>2000</v>
      </c>
    </row>
    <row r="23" spans="1:5" ht="16.5" thickBot="1" x14ac:dyDescent="0.3">
      <c r="A23" s="340">
        <v>92211</v>
      </c>
      <c r="B23" s="341" t="s">
        <v>233</v>
      </c>
      <c r="C23" s="342">
        <v>12000</v>
      </c>
      <c r="D23" s="342">
        <v>12000</v>
      </c>
      <c r="E23" s="343">
        <v>12000</v>
      </c>
    </row>
    <row r="26" spans="1:5" ht="20.25" x14ac:dyDescent="0.3">
      <c r="A26" s="148"/>
      <c r="B26" s="149"/>
    </row>
    <row r="27" spans="1:5" ht="20.25" x14ac:dyDescent="0.3">
      <c r="A27" s="131"/>
      <c r="B27" s="131"/>
    </row>
    <row r="28" spans="1:5" ht="20.25" x14ac:dyDescent="0.3">
      <c r="A28" s="150" t="s">
        <v>191</v>
      </c>
      <c r="B28" s="150"/>
      <c r="C28" s="150"/>
      <c r="D28" s="130"/>
    </row>
    <row r="29" spans="1:5" ht="20.25" x14ac:dyDescent="0.3">
      <c r="A29" s="150"/>
      <c r="B29" s="150"/>
      <c r="C29" s="150"/>
    </row>
    <row r="30" spans="1:5" ht="20.25" x14ac:dyDescent="0.3">
      <c r="A30" s="150" t="s">
        <v>260</v>
      </c>
      <c r="B30" s="150"/>
      <c r="C30" s="150"/>
      <c r="D30" t="s">
        <v>256</v>
      </c>
    </row>
    <row r="31" spans="1:5" ht="20.25" x14ac:dyDescent="0.3">
      <c r="A31" s="150"/>
      <c r="B31" s="150"/>
      <c r="C31" s="150"/>
    </row>
    <row r="32" spans="1:5" ht="18" x14ac:dyDescent="0.25">
      <c r="A32" s="151" t="s">
        <v>264</v>
      </c>
      <c r="B32" s="319"/>
      <c r="C32" s="319"/>
    </row>
    <row r="33" spans="1:3" x14ac:dyDescent="0.2">
      <c r="A33" s="319"/>
      <c r="B33" s="319"/>
    </row>
    <row r="34" spans="1:3" x14ac:dyDescent="0.2">
      <c r="A34" s="319"/>
      <c r="B34" s="319"/>
      <c r="C34" s="130"/>
    </row>
    <row r="35" spans="1:3" x14ac:dyDescent="0.2">
      <c r="A35" s="319"/>
      <c r="B35" s="319"/>
    </row>
  </sheetData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6</vt:i4>
      </vt:variant>
    </vt:vector>
  </HeadingPairs>
  <TitlesOfParts>
    <vt:vector size="6" baseType="lpstr">
      <vt:lpstr>Rashodi-plan 2023</vt:lpstr>
      <vt:lpstr>Rashodi-plan 2024</vt:lpstr>
      <vt:lpstr>Rashodi-plan 2025</vt:lpstr>
      <vt:lpstr>Opći dio-kuna</vt:lpstr>
      <vt:lpstr>Opći dio-euro</vt:lpstr>
      <vt:lpstr> Prihodi-plan od 2023 do 2025</vt:lpstr>
    </vt:vector>
  </TitlesOfParts>
  <Company>noname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 RADULOVIĆ</dc:creator>
  <cp:lastModifiedBy>Racunovodstvo</cp:lastModifiedBy>
  <cp:lastPrinted>2022-11-23T12:20:36Z</cp:lastPrinted>
  <dcterms:created xsi:type="dcterms:W3CDTF">2007-11-26T13:30:35Z</dcterms:created>
  <dcterms:modified xsi:type="dcterms:W3CDTF">2023-09-20T12:52:30Z</dcterms:modified>
</cp:coreProperties>
</file>