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3. godina\Financijska izvješća za 2023. godinu\Šestomjesečna (I.-VI.2023.)\"/>
    </mc:Choice>
  </mc:AlternateContent>
  <xr:revisionPtr revIDLastSave="0" documentId="13_ncr:1_{A0A46008-EED6-48A2-B446-DAE63C706CB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zvršenje rashodi" sheetId="5" r:id="rId1"/>
    <sheet name="Izvršenje prihodi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2" l="1"/>
  <c r="D2" i="12" s="1"/>
  <c r="D57" i="12" s="1"/>
  <c r="D47" i="12"/>
  <c r="D49" i="12"/>
  <c r="D50" i="12"/>
  <c r="D43" i="12"/>
  <c r="D44" i="12"/>
  <c r="D45" i="12"/>
  <c r="D3" i="12"/>
  <c r="D4" i="12"/>
  <c r="D36" i="12"/>
  <c r="D37" i="12"/>
  <c r="D38" i="12"/>
  <c r="D26" i="12"/>
  <c r="D27" i="12"/>
  <c r="D28" i="12"/>
  <c r="D16" i="12"/>
  <c r="D23" i="12"/>
  <c r="D24" i="12"/>
  <c r="D17" i="12"/>
  <c r="D18" i="12"/>
  <c r="D10" i="12"/>
  <c r="D11" i="12"/>
  <c r="D5" i="12"/>
  <c r="D8" i="12"/>
  <c r="D40" i="12"/>
  <c r="D39" i="12"/>
  <c r="E187" i="5"/>
  <c r="E176" i="5"/>
  <c r="T187" i="5"/>
  <c r="V187" i="5"/>
  <c r="V6" i="5"/>
  <c r="V23" i="5"/>
  <c r="V41" i="5"/>
  <c r="V49" i="5"/>
  <c r="AD187" i="5"/>
  <c r="AD6" i="5"/>
  <c r="AD23" i="5"/>
  <c r="AD41" i="5"/>
  <c r="AB187" i="5"/>
  <c r="AD49" i="5"/>
  <c r="AB6" i="5"/>
  <c r="AB7" i="5"/>
  <c r="AB19" i="5"/>
  <c r="AB13" i="5"/>
  <c r="AB8" i="5"/>
  <c r="AB23" i="5"/>
  <c r="AB24" i="5"/>
  <c r="AB33" i="5"/>
  <c r="T6" i="5"/>
  <c r="T7" i="5"/>
  <c r="T8" i="5"/>
  <c r="T13" i="5"/>
  <c r="T19" i="5"/>
  <c r="T23" i="5"/>
  <c r="T24" i="5"/>
  <c r="T33" i="5"/>
  <c r="K7" i="5"/>
  <c r="K19" i="5"/>
  <c r="K13" i="5"/>
  <c r="K8" i="5"/>
  <c r="K24" i="5"/>
  <c r="K41" i="5"/>
  <c r="K33" i="5"/>
  <c r="R35" i="5"/>
  <c r="R24" i="5" s="1"/>
  <c r="R23" i="5" s="1"/>
  <c r="R66" i="5"/>
  <c r="R98" i="5"/>
  <c r="R116" i="5"/>
  <c r="R115" i="5" s="1"/>
  <c r="R119" i="5"/>
  <c r="R128" i="5"/>
  <c r="R158" i="5"/>
  <c r="R157" i="5" s="1"/>
  <c r="R156" i="5" s="1"/>
  <c r="R148" i="5"/>
  <c r="R149" i="5"/>
  <c r="R154" i="5"/>
  <c r="R153" i="5" s="1"/>
  <c r="Y162" i="5"/>
  <c r="Y161" i="5" s="1"/>
  <c r="Y156" i="5" s="1"/>
  <c r="Y187" i="5" s="1"/>
  <c r="Y175" i="5"/>
  <c r="K51" i="5"/>
  <c r="K67" i="5"/>
  <c r="K66" i="5" s="1"/>
  <c r="K83" i="5"/>
  <c r="K89" i="5"/>
  <c r="K116" i="5"/>
  <c r="K115" i="5" s="1"/>
  <c r="R19" i="5"/>
  <c r="R13" i="5"/>
  <c r="R8" i="5"/>
  <c r="R7" i="5" s="1"/>
  <c r="O156" i="5"/>
  <c r="O157" i="5"/>
  <c r="O158" i="5"/>
  <c r="O139" i="5"/>
  <c r="O138" i="5" s="1"/>
  <c r="O140" i="5"/>
  <c r="O120" i="5"/>
  <c r="O119" i="5" s="1"/>
  <c r="O124" i="5"/>
  <c r="O126" i="5"/>
  <c r="O128" i="5"/>
  <c r="O135" i="5"/>
  <c r="O66" i="5"/>
  <c r="O115" i="5"/>
  <c r="O116" i="5"/>
  <c r="O108" i="5"/>
  <c r="O104" i="5"/>
  <c r="O98" i="5"/>
  <c r="O95" i="5"/>
  <c r="O89" i="5"/>
  <c r="O83" i="5"/>
  <c r="O78" i="5"/>
  <c r="O73" i="5"/>
  <c r="O67" i="5"/>
  <c r="O62" i="5"/>
  <c r="O57" i="5"/>
  <c r="O51" i="5"/>
  <c r="O42" i="5"/>
  <c r="O41" i="5" s="1"/>
  <c r="O35" i="5"/>
  <c r="O33" i="5"/>
  <c r="O25" i="5"/>
  <c r="O24" i="5" s="1"/>
  <c r="O23" i="5" s="1"/>
  <c r="O6" i="5" s="1"/>
  <c r="O187" i="5" l="1"/>
  <c r="R6" i="5"/>
  <c r="R187" i="5" s="1"/>
  <c r="K23" i="5"/>
  <c r="K6" i="5"/>
  <c r="K187" i="5" s="1"/>
  <c r="I116" i="5"/>
  <c r="I115" i="5" s="1"/>
  <c r="I108" i="5"/>
  <c r="I98" i="5"/>
  <c r="I95" i="5"/>
  <c r="I73" i="5"/>
  <c r="I67" i="5"/>
  <c r="I24" i="5"/>
  <c r="I33" i="5"/>
  <c r="G57" i="12"/>
  <c r="G45" i="12"/>
  <c r="G44" i="12"/>
  <c r="G43" i="12"/>
  <c r="G38" i="12"/>
  <c r="G37" i="12"/>
  <c r="G36" i="12"/>
  <c r="G31" i="12"/>
  <c r="G30" i="12"/>
  <c r="G28" i="12"/>
  <c r="G27" i="12"/>
  <c r="G26" i="12"/>
  <c r="G24" i="12"/>
  <c r="G23" i="12"/>
  <c r="G22" i="12"/>
  <c r="G18" i="12"/>
  <c r="G17" i="12"/>
  <c r="G16" i="12"/>
  <c r="G11" i="12"/>
  <c r="G10" i="12"/>
  <c r="G5" i="12"/>
  <c r="G4" i="12"/>
  <c r="G3" i="12"/>
  <c r="G2" i="12"/>
  <c r="F57" i="12"/>
  <c r="F2" i="12"/>
  <c r="F26" i="12"/>
  <c r="F27" i="12"/>
  <c r="F22" i="12"/>
  <c r="F23" i="12"/>
  <c r="F16" i="12"/>
  <c r="F17" i="12"/>
  <c r="F3" i="12"/>
  <c r="F10" i="12"/>
  <c r="F4" i="12"/>
  <c r="F30" i="12"/>
  <c r="F31" i="12"/>
  <c r="F36" i="12"/>
  <c r="F37" i="12"/>
  <c r="F43" i="12"/>
  <c r="F44" i="12"/>
  <c r="F45" i="12"/>
  <c r="F38" i="12"/>
  <c r="F41" i="12"/>
  <c r="F28" i="12"/>
  <c r="F24" i="12"/>
  <c r="F18" i="12"/>
  <c r="F11" i="12"/>
  <c r="F5" i="12"/>
  <c r="E57" i="12"/>
  <c r="E55" i="12"/>
  <c r="E54" i="12"/>
  <c r="E53" i="12"/>
  <c r="E52" i="12"/>
  <c r="E50" i="12"/>
  <c r="E49" i="12"/>
  <c r="E48" i="12"/>
  <c r="E47" i="12"/>
  <c r="E45" i="12"/>
  <c r="E44" i="12"/>
  <c r="E43" i="12"/>
  <c r="E38" i="12"/>
  <c r="E37" i="12"/>
  <c r="E36" i="12"/>
  <c r="E28" i="12"/>
  <c r="E27" i="12"/>
  <c r="E26" i="12"/>
  <c r="E24" i="12"/>
  <c r="E23" i="12"/>
  <c r="E22" i="12"/>
  <c r="E11" i="12"/>
  <c r="E10" i="12"/>
  <c r="E8" i="12"/>
  <c r="E5" i="12"/>
  <c r="E4" i="12"/>
  <c r="E3" i="12"/>
  <c r="E2" i="12"/>
  <c r="C57" i="12"/>
  <c r="C3" i="12"/>
  <c r="C4" i="12"/>
  <c r="I66" i="5" l="1"/>
  <c r="I23" i="5" s="1"/>
  <c r="I6" i="5" s="1"/>
  <c r="I187" i="5" s="1"/>
  <c r="C2" i="12"/>
  <c r="D56" i="12" s="1"/>
  <c r="C52" i="12"/>
  <c r="C53" i="12"/>
  <c r="C54" i="12"/>
  <c r="C47" i="12"/>
  <c r="C48" i="12"/>
  <c r="C49" i="12"/>
  <c r="C43" i="12"/>
  <c r="C44" i="12"/>
  <c r="C36" i="12"/>
  <c r="C37" i="12"/>
  <c r="C26" i="12"/>
  <c r="C27" i="12"/>
  <c r="C22" i="12"/>
  <c r="C23" i="12"/>
  <c r="C17" i="12"/>
  <c r="C10" i="12"/>
  <c r="C55" i="12"/>
  <c r="C50" i="12"/>
  <c r="C45" i="12"/>
  <c r="C38" i="12"/>
  <c r="C31" i="12"/>
  <c r="C28" i="12"/>
  <c r="C24" i="12"/>
  <c r="C20" i="12"/>
  <c r="C18" i="12"/>
  <c r="C11" i="12"/>
  <c r="C8" i="12"/>
  <c r="C5" i="12"/>
  <c r="AC49" i="5" l="1"/>
  <c r="AC41" i="5" s="1"/>
  <c r="AC23" i="5" s="1"/>
  <c r="AC6" i="5" s="1"/>
  <c r="AC187" i="5" s="1"/>
  <c r="U49" i="5"/>
  <c r="U41" i="5" s="1"/>
  <c r="U23" i="5" s="1"/>
  <c r="U6" i="5" s="1"/>
  <c r="U187" i="5" s="1"/>
  <c r="E159" i="5"/>
  <c r="E155" i="5" l="1"/>
  <c r="E154" i="5"/>
  <c r="E153" i="5"/>
  <c r="F25" i="12"/>
  <c r="G25" i="12" s="1"/>
  <c r="F6" i="12"/>
  <c r="G6" i="12" s="1"/>
  <c r="F35" i="12"/>
  <c r="G35" i="12" s="1"/>
  <c r="F34" i="12"/>
  <c r="G34" i="12" s="1"/>
  <c r="F32" i="12"/>
  <c r="G32" i="12" s="1"/>
  <c r="F46" i="12"/>
  <c r="G46" i="12" s="1"/>
  <c r="F40" i="12"/>
  <c r="G40" i="12" s="1"/>
  <c r="F39" i="12"/>
  <c r="G39" i="12" s="1"/>
  <c r="F29" i="12"/>
  <c r="G29" i="12" s="1"/>
  <c r="F19" i="12"/>
  <c r="G19" i="12" s="1"/>
  <c r="F13" i="12"/>
  <c r="G13" i="12" s="1"/>
  <c r="F12" i="12"/>
  <c r="G12" i="12" s="1"/>
  <c r="E56" i="12" l="1"/>
  <c r="E51" i="12"/>
  <c r="E46" i="12"/>
  <c r="E40" i="12"/>
  <c r="E39" i="12"/>
  <c r="E29" i="12"/>
  <c r="E25" i="12"/>
  <c r="E15" i="12"/>
  <c r="E14" i="12"/>
  <c r="E13" i="12"/>
  <c r="E12" i="12"/>
  <c r="E9" i="12"/>
  <c r="E7" i="12"/>
  <c r="E6" i="12"/>
  <c r="F187" i="5" l="1"/>
  <c r="G187" i="5" s="1"/>
  <c r="F181" i="5" l="1"/>
  <c r="G181" i="5" s="1"/>
  <c r="F180" i="5"/>
  <c r="G180" i="5" s="1"/>
  <c r="F179" i="5"/>
  <c r="G179" i="5" s="1"/>
  <c r="F144" i="5"/>
  <c r="G144" i="5" s="1"/>
  <c r="F133" i="5"/>
  <c r="G133" i="5" s="1"/>
  <c r="F112" i="5"/>
  <c r="G112" i="5" s="1"/>
  <c r="F88" i="5"/>
  <c r="G88" i="5" s="1"/>
  <c r="F77" i="5"/>
  <c r="G77" i="5" s="1"/>
  <c r="F176" i="5"/>
  <c r="G176" i="5" s="1"/>
  <c r="F175" i="5"/>
  <c r="G175" i="5" s="1"/>
  <c r="F170" i="5"/>
  <c r="G170" i="5" s="1"/>
  <c r="F167" i="5"/>
  <c r="G167" i="5" s="1"/>
  <c r="F165" i="5"/>
  <c r="G165" i="5" s="1"/>
  <c r="F164" i="5"/>
  <c r="G164" i="5" s="1"/>
  <c r="F163" i="5"/>
  <c r="G163" i="5" s="1"/>
  <c r="F162" i="5"/>
  <c r="G162" i="5" s="1"/>
  <c r="F161" i="5"/>
  <c r="G161" i="5" s="1"/>
  <c r="F160" i="5"/>
  <c r="G160" i="5" s="1"/>
  <c r="F158" i="5"/>
  <c r="G158" i="5" s="1"/>
  <c r="F157" i="5"/>
  <c r="G157" i="5" s="1"/>
  <c r="F156" i="5"/>
  <c r="G156" i="5" s="1"/>
  <c r="F147" i="5"/>
  <c r="G147" i="5" s="1"/>
  <c r="F146" i="5"/>
  <c r="G146" i="5" s="1"/>
  <c r="F145" i="5"/>
  <c r="G145" i="5" s="1"/>
  <c r="F143" i="5"/>
  <c r="G143" i="5" s="1"/>
  <c r="F141" i="5"/>
  <c r="G141" i="5" s="1"/>
  <c r="F140" i="5"/>
  <c r="G140" i="5" s="1"/>
  <c r="F139" i="5"/>
  <c r="G139" i="5" s="1"/>
  <c r="F138" i="5"/>
  <c r="G138" i="5" s="1"/>
  <c r="F137" i="5"/>
  <c r="G137" i="5" s="1"/>
  <c r="F135" i="5"/>
  <c r="G135" i="5" s="1"/>
  <c r="F134" i="5"/>
  <c r="G134" i="5" s="1"/>
  <c r="F132" i="5"/>
  <c r="G132" i="5" s="1"/>
  <c r="F131" i="5"/>
  <c r="G131" i="5" s="1"/>
  <c r="F130" i="5"/>
  <c r="G130" i="5" s="1"/>
  <c r="F129" i="5"/>
  <c r="G129" i="5" s="1"/>
  <c r="F128" i="5"/>
  <c r="G128" i="5" s="1"/>
  <c r="F127" i="5"/>
  <c r="G127" i="5" s="1"/>
  <c r="F126" i="5"/>
  <c r="G126" i="5" s="1"/>
  <c r="F125" i="5"/>
  <c r="G125" i="5" s="1"/>
  <c r="F124" i="5"/>
  <c r="G124" i="5" s="1"/>
  <c r="F122" i="5"/>
  <c r="G122" i="5" s="1"/>
  <c r="F121" i="5"/>
  <c r="G121" i="5" s="1"/>
  <c r="F120" i="5"/>
  <c r="G120" i="5" s="1"/>
  <c r="F119" i="5"/>
  <c r="G119" i="5" s="1"/>
  <c r="F118" i="5"/>
  <c r="G118" i="5" s="1"/>
  <c r="F117" i="5"/>
  <c r="G117" i="5" s="1"/>
  <c r="F116" i="5"/>
  <c r="G116" i="5" s="1"/>
  <c r="F115" i="5"/>
  <c r="G115" i="5" s="1"/>
  <c r="F114" i="5"/>
  <c r="G114" i="5" s="1"/>
  <c r="F111" i="5"/>
  <c r="G111" i="5" s="1"/>
  <c r="F110" i="5"/>
  <c r="G110" i="5" s="1"/>
  <c r="F109" i="5"/>
  <c r="G109" i="5" s="1"/>
  <c r="F108" i="5"/>
  <c r="G108" i="5" s="1"/>
  <c r="F107" i="5"/>
  <c r="G107" i="5" s="1"/>
  <c r="F104" i="5"/>
  <c r="G104" i="5" s="1"/>
  <c r="F100" i="5"/>
  <c r="G100" i="5" s="1"/>
  <c r="F99" i="5"/>
  <c r="G99" i="5" s="1"/>
  <c r="F98" i="5"/>
  <c r="G98" i="5" s="1"/>
  <c r="F97" i="5"/>
  <c r="G97" i="5" s="1"/>
  <c r="F96" i="5"/>
  <c r="G96" i="5" s="1"/>
  <c r="F95" i="5"/>
  <c r="G95" i="5" s="1"/>
  <c r="F94" i="5"/>
  <c r="G94" i="5" s="1"/>
  <c r="F93" i="5"/>
  <c r="G93" i="5" s="1"/>
  <c r="F91" i="5"/>
  <c r="G91" i="5" s="1"/>
  <c r="F90" i="5"/>
  <c r="G90" i="5" s="1"/>
  <c r="F89" i="5"/>
  <c r="G89" i="5" s="1"/>
  <c r="F85" i="5"/>
  <c r="G85" i="5" s="1"/>
  <c r="F84" i="5"/>
  <c r="G84" i="5" s="1"/>
  <c r="F83" i="5"/>
  <c r="G83" i="5" s="1"/>
  <c r="F82" i="5"/>
  <c r="G82" i="5" s="1"/>
  <c r="F81" i="5"/>
  <c r="G81" i="5" s="1"/>
  <c r="F80" i="5"/>
  <c r="G80" i="5" s="1"/>
  <c r="F79" i="5"/>
  <c r="G79" i="5" s="1"/>
  <c r="F78" i="5"/>
  <c r="G78" i="5" s="1"/>
  <c r="F76" i="5"/>
  <c r="G76" i="5" s="1"/>
  <c r="F75" i="5"/>
  <c r="G75" i="5" s="1"/>
  <c r="F73" i="5"/>
  <c r="G73" i="5" s="1"/>
  <c r="F72" i="5"/>
  <c r="G72" i="5" s="1"/>
  <c r="F70" i="5"/>
  <c r="G70" i="5" s="1"/>
  <c r="F68" i="5"/>
  <c r="G68" i="5" s="1"/>
  <c r="F67" i="5"/>
  <c r="G67" i="5" s="1"/>
  <c r="F66" i="5"/>
  <c r="G66" i="5" s="1"/>
  <c r="F65" i="5"/>
  <c r="G65" i="5" s="1"/>
  <c r="F64" i="5"/>
  <c r="G64" i="5" s="1"/>
  <c r="F63" i="5"/>
  <c r="G63" i="5" s="1"/>
  <c r="F62" i="5"/>
  <c r="G62" i="5" s="1"/>
  <c r="F61" i="5"/>
  <c r="G61" i="5" s="1"/>
  <c r="F60" i="5"/>
  <c r="G60" i="5" s="1"/>
  <c r="F59" i="5"/>
  <c r="G59" i="5" s="1"/>
  <c r="F58" i="5"/>
  <c r="G58" i="5" s="1"/>
  <c r="F57" i="5"/>
  <c r="G57" i="5" s="1"/>
  <c r="F55" i="5"/>
  <c r="G55" i="5" s="1"/>
  <c r="F54" i="5"/>
  <c r="G54" i="5" s="1"/>
  <c r="F52" i="5"/>
  <c r="G52" i="5" s="1"/>
  <c r="F51" i="5"/>
  <c r="G51" i="5" s="1"/>
  <c r="F48" i="5"/>
  <c r="G48" i="5" s="1"/>
  <c r="F47" i="5"/>
  <c r="G47" i="5" s="1"/>
  <c r="F46" i="5"/>
  <c r="G46" i="5" s="1"/>
  <c r="F44" i="5"/>
  <c r="G44" i="5" s="1"/>
  <c r="F43" i="5"/>
  <c r="G43" i="5" s="1"/>
  <c r="F42" i="5"/>
  <c r="G42" i="5" s="1"/>
  <c r="F41" i="5"/>
  <c r="G41" i="5" s="1"/>
  <c r="F36" i="5"/>
  <c r="G36" i="5" s="1"/>
  <c r="F35" i="5"/>
  <c r="G35" i="5" s="1"/>
  <c r="F34" i="5"/>
  <c r="G34" i="5" s="1"/>
  <c r="F33" i="5"/>
  <c r="G33" i="5" s="1"/>
  <c r="F30" i="5"/>
  <c r="G30" i="5" s="1"/>
  <c r="F28" i="5"/>
  <c r="G28" i="5" s="1"/>
  <c r="F27" i="5"/>
  <c r="G27" i="5" s="1"/>
  <c r="F26" i="5"/>
  <c r="G26" i="5" s="1"/>
  <c r="F25" i="5"/>
  <c r="G25" i="5" s="1"/>
  <c r="F24" i="5"/>
  <c r="G24" i="5" s="1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F14" i="5"/>
  <c r="G14" i="5" s="1"/>
  <c r="F13" i="5"/>
  <c r="G13" i="5" s="1"/>
  <c r="F12" i="5"/>
  <c r="G12" i="5" s="1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E181" i="5" l="1"/>
  <c r="E180" i="5"/>
  <c r="E175" i="5"/>
  <c r="E179" i="5"/>
  <c r="E162" i="5"/>
  <c r="E161" i="5"/>
  <c r="E160" i="5"/>
  <c r="E158" i="5"/>
  <c r="E157" i="5"/>
  <c r="E156" i="5"/>
  <c r="E150" i="5"/>
  <c r="E149" i="5"/>
  <c r="E148" i="5"/>
  <c r="E147" i="5"/>
  <c r="E144" i="5"/>
  <c r="E143" i="5"/>
  <c r="E142" i="5"/>
  <c r="E141" i="5"/>
  <c r="E140" i="5"/>
  <c r="E139" i="5"/>
  <c r="E138" i="5"/>
  <c r="E137" i="5"/>
  <c r="E135" i="5"/>
  <c r="E134" i="5"/>
  <c r="E133" i="5"/>
  <c r="E132" i="5"/>
  <c r="E131" i="5"/>
  <c r="E130" i="5"/>
  <c r="E128" i="5"/>
  <c r="E127" i="5"/>
  <c r="E126" i="5"/>
  <c r="E125" i="5"/>
  <c r="E124" i="5"/>
  <c r="E122" i="5"/>
  <c r="E121" i="5"/>
  <c r="E120" i="5"/>
  <c r="E119" i="5"/>
  <c r="E118" i="5"/>
  <c r="E117" i="5"/>
  <c r="E116" i="5"/>
  <c r="E115" i="5"/>
  <c r="E114" i="5"/>
  <c r="E111" i="5"/>
  <c r="E109" i="5"/>
  <c r="E108" i="5"/>
  <c r="E107" i="5"/>
  <c r="E104" i="5"/>
  <c r="E101" i="5"/>
  <c r="E100" i="5"/>
  <c r="E98" i="5"/>
  <c r="E96" i="5"/>
  <c r="E95" i="5"/>
  <c r="E94" i="5"/>
  <c r="E93" i="5"/>
  <c r="E92" i="5"/>
  <c r="E91" i="5"/>
  <c r="E90" i="5"/>
  <c r="E89" i="5"/>
  <c r="E88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0" i="5"/>
  <c r="E68" i="5"/>
  <c r="E67" i="5"/>
  <c r="E66" i="5"/>
  <c r="E63" i="5"/>
  <c r="E62" i="5"/>
  <c r="E61" i="5"/>
  <c r="E60" i="5"/>
  <c r="E59" i="5"/>
  <c r="E58" i="5"/>
  <c r="E57" i="5"/>
  <c r="E55" i="5"/>
  <c r="E54" i="5"/>
  <c r="E52" i="5"/>
  <c r="E51" i="5"/>
  <c r="E50" i="5"/>
  <c r="E49" i="5"/>
  <c r="E48" i="5"/>
  <c r="E47" i="5"/>
  <c r="E46" i="5"/>
  <c r="E43" i="5"/>
  <c r="E42" i="5"/>
  <c r="E41" i="5"/>
  <c r="E37" i="5"/>
  <c r="E36" i="5"/>
  <c r="E35" i="5"/>
  <c r="E34" i="5"/>
  <c r="E33" i="5"/>
  <c r="E30" i="5"/>
  <c r="E28" i="5"/>
  <c r="E27" i="5"/>
  <c r="E26" i="5"/>
  <c r="E25" i="5"/>
  <c r="E24" i="5"/>
  <c r="E23" i="5"/>
  <c r="E20" i="5"/>
  <c r="E19" i="5"/>
  <c r="E18" i="5"/>
  <c r="E17" i="5"/>
  <c r="E16" i="5"/>
  <c r="E15" i="5"/>
  <c r="E14" i="5"/>
  <c r="E13" i="5"/>
  <c r="E12" i="5"/>
  <c r="E11" i="5"/>
  <c r="E9" i="5"/>
  <c r="E8" i="5"/>
  <c r="E7" i="5"/>
  <c r="E6" i="5"/>
</calcChain>
</file>

<file path=xl/sharedStrings.xml><?xml version="1.0" encoding="utf-8"?>
<sst xmlns="http://schemas.openxmlformats.org/spreadsheetml/2006/main" count="290" uniqueCount="253">
  <si>
    <t>Naziv računa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</si>
  <si>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</si>
  <si>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</si>
  <si>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</si>
  <si>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</si>
  <si>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</si>
  <si>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</si>
  <si>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</si>
  <si>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M.P.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</si>
  <si>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</si>
  <si>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</si>
  <si>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</si>
  <si>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</si>
  <si>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</si>
  <si>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</si>
  <si>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</si>
  <si>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</si>
  <si>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</si>
  <si>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</si>
  <si>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</si>
  <si>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</si>
  <si>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</si>
  <si>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</si>
  <si>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</si>
  <si>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</si>
  <si>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</si>
  <si>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</si>
  <si>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</si>
  <si>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</si>
  <si>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</si>
  <si>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</si>
  <si>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</si>
  <si>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</si>
  <si>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</si>
  <si>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</si>
  <si>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</si>
  <si>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</si>
  <si>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</si>
  <si>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</si>
  <si>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</si>
  <si>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</si>
  <si>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</si>
  <si>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</si>
  <si>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</si>
  <si>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</si>
  <si>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</si>
  <si>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</si>
  <si>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</si>
  <si>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</si>
  <si>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</si>
  <si>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</si>
  <si>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</si>
  <si>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</si>
  <si>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</si>
  <si>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</si>
  <si>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</si>
  <si>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Materijal i sirovine</t>
  </si>
  <si>
    <t>Umjetnička djela- izložena u galerijama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</si>
  <si>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</si>
  <si>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</si>
  <si>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</si>
  <si>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</si>
  <si>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</si>
  <si>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</si>
  <si>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</si>
  <si>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</si>
  <si>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</si>
  <si>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</si>
  <si>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</si>
  <si>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</si>
  <si>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</si>
  <si>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</si>
  <si>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</si>
  <si>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</si>
  <si>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</si>
  <si>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</si>
  <si>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</si>
  <si>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</si>
  <si>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</si>
  <si>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</si>
  <si>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</si>
  <si>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</si>
  <si>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</si>
  <si>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</si>
  <si>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</si>
  <si>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</si>
  <si>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</si>
  <si>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</si>
  <si>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</si>
  <si>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</si>
  <si>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</si>
  <si>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</si>
  <si>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</si>
  <si>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</si>
  <si>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</si>
  <si>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</si>
  <si>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</si>
  <si>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</si>
  <si>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</si>
  <si>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</si>
  <si>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</si>
  <si>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</si>
  <si>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</si>
  <si>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</si>
  <si>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</si>
  <si>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</si>
  <si>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</si>
  <si>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</si>
  <si>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</si>
  <si>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</si>
  <si>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</si>
  <si>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</si>
  <si>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</si>
  <si>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</si>
  <si>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</si>
  <si>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</si>
  <si>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</si>
  <si>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</si>
  <si>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</si>
  <si>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</si>
  <si>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</si>
  <si>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</si>
  <si>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</si>
  <si>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</si>
  <si>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</si>
  <si>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</si>
  <si>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</si>
  <si>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</si>
  <si>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</si>
  <si>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</si>
  <si>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</si>
  <si>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</si>
  <si>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</si>
  <si>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</si>
  <si>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</si>
  <si>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</si>
  <si>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</si>
  <si>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</si>
  <si>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</si>
  <si>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</si>
  <si>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___________________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</si>
  <si>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</si>
  <si>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</si>
  <si>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</si>
  <si>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</si>
  <si>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</si>
  <si>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</si>
  <si>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</si>
  <si>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</si>
  <si>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</si>
  <si>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</si>
  <si>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</si>
  <si>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</si>
  <si>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</si>
  <si>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</si>
  <si>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</si>
  <si>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</si>
  <si>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Mat.i dij.za tek.i inv.održ. transportnih sredstava</t>
  </si>
  <si>
    <t>Nagrade</t>
  </si>
  <si>
    <t>Ostali rashodi za nezaposlene</t>
  </si>
  <si>
    <t>Regres</t>
  </si>
  <si>
    <t>Naknade za bolest, invalidnost</t>
  </si>
  <si>
    <t>Darovi</t>
  </si>
  <si>
    <t>PRENESENI VIŠAK IZ 2022. GODINE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</si>
  <si>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</si>
  <si>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</si>
  <si>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</si>
  <si>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</si>
  <si>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</si>
  <si>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</si>
  <si>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</si>
  <si>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</si>
  <si>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</si>
  <si>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</si>
  <si>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</si>
  <si>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</si>
  <si>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</si>
  <si>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</si>
  <si>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</si>
  <si>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</si>
  <si>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</si>
  <si>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Prihodi od prodaje glazbenih instrumenata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</si>
  <si>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</si>
  <si>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</si>
  <si>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</si>
  <si>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</si>
  <si>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</si>
  <si>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Tekuće donacije od fizičkih osoba</t>
  </si>
  <si>
    <t>Tekuće donacije od neprofitnih organizacija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</si>
  <si>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</si>
  <si>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</si>
  <si>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</si>
  <si>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</si>
  <si>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</si>
  <si>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Vlastiti     (3.1.1.)</t>
  </si>
  <si>
    <t>Pomoći-asistenti  (5.1.1.)</t>
  </si>
  <si>
    <t>Pomoći-shema voća  (5.1.1.)</t>
  </si>
  <si>
    <t>Donacije (6.1.1.)</t>
  </si>
  <si>
    <t>Prihodi od nefin. Im. i nadoknade šteta s osnova osiguranja (3.1.1.)</t>
  </si>
  <si>
    <t>EU sredstva-asistenti (5.8.1.)</t>
  </si>
  <si>
    <t>EU sredstva-shema voća  (5.8.1.)</t>
  </si>
  <si>
    <t>Pomoći-ministarstvo (5.1.1. + 5.3.1. kapitalne)</t>
  </si>
  <si>
    <t xml:space="preserve">Predsjednik Školskog odbora: </t>
  </si>
  <si>
    <t xml:space="preserve">   Ravnateljica:</t>
  </si>
  <si>
    <t>IZVRŠENJE FINANCIJSKOG PLANA ZA 2023. GODINU</t>
  </si>
  <si>
    <t xml:space="preserve">Izvršeno </t>
  </si>
  <si>
    <t>Dinka Peti, mag.mus.</t>
  </si>
  <si>
    <t>Tomislav Ćavar, dipl.iur.</t>
  </si>
  <si>
    <t>Ravnateljica: ______________________ Dinka Peti, mag.mus.</t>
  </si>
  <si>
    <t>Predsjednik Školskog odbora: ___________________ Tomislav Ćavar, dipl.iur.</t>
  </si>
  <si>
    <t>Izvršeno do 30.06.2022.</t>
  </si>
  <si>
    <t>Izvršeno do 30.06.2023.</t>
  </si>
  <si>
    <t>Indeks do 30.06.2023.</t>
  </si>
  <si>
    <t>Indeks do 30.06.2022.</t>
  </si>
  <si>
    <t>Plan do 30.06.2023.</t>
  </si>
  <si>
    <t>Tekuće donacije</t>
  </si>
  <si>
    <t>Tekuće donacije u naraci</t>
  </si>
  <si>
    <t>Ostale tekuće donacije u naravi</t>
  </si>
  <si>
    <t>Ostala nespomenuta prava</t>
  </si>
  <si>
    <t>Vlastiti izvori</t>
  </si>
  <si>
    <t>Prihodi poslovanja</t>
  </si>
  <si>
    <t>Pomoći iz inozemstva i od subjekaa unutar općeg proračuna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</si>
  <si>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</si>
  <si>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</si>
  <si>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</si>
  <si>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Prijenosi između proračunskih korisnika istog proračuna</t>
  </si>
  <si>
    <t>Tekući prijenosi između proračunskih korisnika temeljem prijenosa EU sredstava</t>
  </si>
  <si>
    <t>Prihodi od imovine</t>
  </si>
  <si>
    <t>Prihodi od financijske imovine</t>
  </si>
  <si>
    <t>Prihodi od zateznih kamata</t>
  </si>
  <si>
    <t>Prihodi od pozitivnih tečajnih razlika i razlika zbog promjene valutne klauzule</t>
  </si>
  <si>
    <t>Prihodi od upravnih i administrativnih pristojbi</t>
  </si>
  <si>
    <t>Prihodi po posebnim propisima</t>
  </si>
  <si>
    <t>Ostali nespomenuti prihodi</t>
  </si>
  <si>
    <t>Prihodi od prodaje proizvoda i robe te prućenih usluga i prihodi od donacija</t>
  </si>
  <si>
    <t>Prihodi od prodaje proizvoda i robe te pruženih usluga</t>
  </si>
  <si>
    <t>Donacije od pravnih i fizičkih osoba izvan općeg proračuna</t>
  </si>
  <si>
    <t xml:space="preserve">Prihodi iz nadležnog proračuna </t>
  </si>
  <si>
    <t>Prihodi iz nadležnog proračuna za financiranje redovne djelatnosti</t>
  </si>
  <si>
    <t>Prihodi iz nadležnog proračuna za financiranje rashoda poslovanja</t>
  </si>
  <si>
    <t>Kazne, upravne mjere i ostali prihodi</t>
  </si>
  <si>
    <t>Prihodi od prodaje nefinancijske imovine</t>
  </si>
  <si>
    <t>Prihodi od prodaje proizvedene dugotrajne imovine</t>
  </si>
  <si>
    <t>Prihodi od prodaje postrojenja i opreme</t>
  </si>
  <si>
    <t>Rezultat poslovanja</t>
  </si>
  <si>
    <t>Višak/manjak prihoda</t>
  </si>
  <si>
    <t>Višak prihoda</t>
  </si>
  <si>
    <t>UKUPNO</t>
  </si>
  <si>
    <t>Račun prihoda  /primitaka</t>
  </si>
  <si>
    <t>Datum: 07.07.2023.</t>
  </si>
  <si>
    <t xml:space="preserve">                                 M.P.                                 07.07.2023.</t>
  </si>
  <si>
    <t>KLASA: 400-04/23-01/04</t>
  </si>
  <si>
    <t xml:space="preserve">UR.BROJ: 2196-4-3-01-1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</si>
</sst>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sz val="20"/>
      <name val="Times New Roman"/>
      <family val="1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24"/>
      <color rgb="FFFF0000"/>
      <name val="Times New Roman"/>
      <family val="1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/>
    <xf numFmtId="0" fontId="4" fillId="0" borderId="0"/>
    <xf numFmtId="0" fontId="2" fillId="0" borderId="0"/>
    <xf numFmtId="0" fontId="1" fillId="0" borderId="0"/>
    <xf numFmtId="0" fontId="13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26" fillId="0" borderId="0"/>
    <xf numFmtId="164" fontId="25" fillId="0" borderId="0" applyFont="0" applyFill="0" applyBorder="0" applyAlignment="0" applyProtection="0"/>
    <xf numFmtId="0" fontId="26" fillId="0" borderId="0"/>
  </cellStyleXfs>
  <cellXfs count="362">
    <xf numFmtId="0" fontId="0" fillId="0" borderId="0" xfId="0"/>
    <xf numFmtId="3" fontId="6" fillId="0" borderId="0" xfId="0" applyNumberFormat="1" applyFont="1"/>
    <xf numFmtId="4" fontId="6" fillId="0" borderId="0" xfId="0" applyNumberFormat="1" applyFont="1"/>
    <xf numFmtId="3" fontId="8" fillId="0" borderId="0" xfId="0" applyNumberFormat="1" applyFont="1" applyBorder="1"/>
    <xf numFmtId="3" fontId="8" fillId="0" borderId="0" xfId="0" applyNumberFormat="1" applyFont="1"/>
    <xf numFmtId="4" fontId="7" fillId="3" borderId="0" xfId="0" applyNumberFormat="1" applyFont="1" applyFill="1" applyBorder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6" fillId="0" borderId="0" xfId="0" applyNumberFormat="1" applyFont="1" applyBorder="1"/>
    <xf numFmtId="3" fontId="7" fillId="0" borderId="0" xfId="0" applyNumberFormat="1" applyFont="1" applyBorder="1"/>
    <xf numFmtId="3" fontId="6" fillId="3" borderId="0" xfId="0" applyNumberFormat="1" applyFont="1" applyFill="1"/>
    <xf numFmtId="3" fontId="9" fillId="2" borderId="0" xfId="0" applyNumberFormat="1" applyFont="1" applyFill="1"/>
    <xf numFmtId="3" fontId="9" fillId="3" borderId="0" xfId="0" applyNumberFormat="1" applyFont="1" applyFill="1"/>
    <xf numFmtId="0" fontId="8" fillId="0" borderId="3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3" fontId="6" fillId="6" borderId="0" xfId="0" applyNumberFormat="1" applyFont="1" applyFill="1"/>
    <xf numFmtId="0" fontId="8" fillId="6" borderId="1" xfId="0" applyNumberFormat="1" applyFont="1" applyFill="1" applyBorder="1" applyAlignment="1">
      <alignment horizontal="center"/>
    </xf>
    <xf numFmtId="0" fontId="8" fillId="6" borderId="1" xfId="0" applyNumberFormat="1" applyFont="1" applyFill="1" applyBorder="1" applyAlignment="1">
      <alignment horizontal="center" wrapText="1"/>
    </xf>
    <xf numFmtId="0" fontId="8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wrapText="1"/>
    </xf>
    <xf numFmtId="0" fontId="8" fillId="3" borderId="1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 wrapText="1"/>
    </xf>
    <xf numFmtId="0" fontId="8" fillId="6" borderId="1" xfId="0" applyNumberFormat="1" applyFont="1" applyFill="1" applyBorder="1"/>
    <xf numFmtId="3" fontId="9" fillId="6" borderId="0" xfId="0" applyNumberFormat="1" applyFont="1" applyFill="1"/>
    <xf numFmtId="3" fontId="8" fillId="6" borderId="1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49" fontId="8" fillId="6" borderId="1" xfId="0" applyNumberFormat="1" applyFont="1" applyFill="1" applyBorder="1" applyAlignment="1">
      <alignment horizontal="center" shrinkToFit="1"/>
    </xf>
    <xf numFmtId="49" fontId="8" fillId="3" borderId="1" xfId="0" applyNumberFormat="1" applyFont="1" applyFill="1" applyBorder="1" applyAlignment="1">
      <alignment horizontal="center" shrinkToFit="1"/>
    </xf>
    <xf numFmtId="0" fontId="8" fillId="3" borderId="0" xfId="0" applyNumberFormat="1" applyFont="1" applyFill="1" applyBorder="1" applyAlignment="1">
      <alignment horizontal="center"/>
    </xf>
    <xf numFmtId="0" fontId="7" fillId="3" borderId="0" xfId="0" quotePrefix="1" applyNumberFormat="1" applyFont="1" applyFill="1" applyBorder="1" applyAlignment="1">
      <alignment horizontal="center" vertical="justify"/>
    </xf>
    <xf numFmtId="3" fontId="7" fillId="3" borderId="0" xfId="0" applyNumberFormat="1" applyFont="1" applyFill="1" applyBorder="1"/>
    <xf numFmtId="3" fontId="12" fillId="0" borderId="0" xfId="0" applyNumberFormat="1" applyFont="1"/>
    <xf numFmtId="3" fontId="7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left" indent="1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4" fontId="8" fillId="6" borderId="1" xfId="0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4" fontId="8" fillId="6" borderId="1" xfId="4" applyNumberFormat="1" applyFont="1" applyFill="1" applyBorder="1" applyAlignment="1">
      <alignment horizontal="right"/>
    </xf>
    <xf numFmtId="4" fontId="8" fillId="3" borderId="2" xfId="4" applyNumberFormat="1" applyFont="1" applyFill="1" applyBorder="1" applyAlignment="1">
      <alignment horizontal="right"/>
    </xf>
    <xf numFmtId="4" fontId="8" fillId="3" borderId="1" xfId="4" applyNumberFormat="1" applyFont="1" applyFill="1" applyBorder="1" applyAlignment="1">
      <alignment horizontal="right"/>
    </xf>
    <xf numFmtId="4" fontId="8" fillId="0" borderId="1" xfId="4" applyNumberFormat="1" applyFont="1" applyBorder="1" applyAlignment="1">
      <alignment horizontal="right"/>
    </xf>
    <xf numFmtId="4" fontId="8" fillId="0" borderId="2" xfId="4" applyNumberFormat="1" applyFont="1" applyBorder="1" applyAlignment="1">
      <alignment horizontal="right"/>
    </xf>
    <xf numFmtId="0" fontId="7" fillId="2" borderId="18" xfId="0" applyNumberFormat="1" applyFont="1" applyFill="1" applyBorder="1" applyAlignment="1">
      <alignment horizontal="center"/>
    </xf>
    <xf numFmtId="0" fontId="7" fillId="2" borderId="19" xfId="0" applyNumberFormat="1" applyFont="1" applyFill="1" applyBorder="1" applyAlignment="1">
      <alignment horizontal="center"/>
    </xf>
    <xf numFmtId="4" fontId="7" fillId="2" borderId="19" xfId="4" applyNumberFormat="1" applyFont="1" applyFill="1" applyBorder="1" applyAlignment="1">
      <alignment horizontal="right"/>
    </xf>
    <xf numFmtId="0" fontId="14" fillId="3" borderId="0" xfId="0" applyNumberFormat="1" applyFont="1" applyFill="1" applyBorder="1" applyAlignment="1">
      <alignment horizontal="center"/>
    </xf>
    <xf numFmtId="0" fontId="15" fillId="3" borderId="0" xfId="0" quotePrefix="1" applyNumberFormat="1" applyFont="1" applyFill="1" applyBorder="1" applyAlignment="1">
      <alignment horizontal="center" vertical="justify"/>
    </xf>
    <xf numFmtId="0" fontId="15" fillId="0" borderId="0" xfId="0" applyNumberFormat="1" applyFont="1" applyBorder="1" applyAlignment="1">
      <alignment horizontal="center"/>
    </xf>
    <xf numFmtId="0" fontId="14" fillId="0" borderId="0" xfId="0" applyNumberFormat="1" applyFont="1" applyBorder="1"/>
    <xf numFmtId="0" fontId="16" fillId="0" borderId="0" xfId="0" applyNumberFormat="1" applyFont="1"/>
    <xf numFmtId="0" fontId="8" fillId="0" borderId="28" xfId="0" applyNumberFormat="1" applyFont="1" applyBorder="1" applyAlignment="1">
      <alignment horizontal="center"/>
    </xf>
    <xf numFmtId="0" fontId="8" fillId="0" borderId="25" xfId="0" applyNumberFormat="1" applyFont="1" applyBorder="1" applyAlignment="1">
      <alignment horizontal="center"/>
    </xf>
    <xf numFmtId="0" fontId="8" fillId="6" borderId="13" xfId="0" applyNumberFormat="1" applyFont="1" applyFill="1" applyBorder="1" applyAlignment="1">
      <alignment horizontal="center"/>
    </xf>
    <xf numFmtId="0" fontId="8" fillId="0" borderId="13" xfId="0" applyNumberFormat="1" applyFont="1" applyBorder="1" applyAlignment="1">
      <alignment horizontal="center"/>
    </xf>
    <xf numFmtId="0" fontId="8" fillId="3" borderId="13" xfId="0" applyNumberFormat="1" applyFont="1" applyFill="1" applyBorder="1" applyAlignment="1">
      <alignment horizontal="center"/>
    </xf>
    <xf numFmtId="0" fontId="8" fillId="3" borderId="25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wrapText="1"/>
    </xf>
    <xf numFmtId="4" fontId="8" fillId="0" borderId="1" xfId="4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center"/>
    </xf>
    <xf numFmtId="0" fontId="8" fillId="0" borderId="13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shrinkToFit="1"/>
    </xf>
    <xf numFmtId="4" fontId="8" fillId="3" borderId="2" xfId="0" applyNumberFormat="1" applyFont="1" applyFill="1" applyBorder="1" applyAlignment="1">
      <alignment horizontal="right"/>
    </xf>
    <xf numFmtId="4" fontId="7" fillId="10" borderId="19" xfId="0" applyNumberFormat="1" applyFont="1" applyFill="1" applyBorder="1" applyAlignment="1">
      <alignment horizontal="right"/>
    </xf>
    <xf numFmtId="4" fontId="8" fillId="11" borderId="2" xfId="0" applyNumberFormat="1" applyFont="1" applyFill="1" applyBorder="1" applyAlignment="1">
      <alignment horizontal="right"/>
    </xf>
    <xf numFmtId="165" fontId="8" fillId="12" borderId="1" xfId="0" applyNumberFormat="1" applyFont="1" applyFill="1" applyBorder="1" applyAlignment="1">
      <alignment horizontal="right"/>
    </xf>
    <xf numFmtId="165" fontId="8" fillId="11" borderId="1" xfId="0" applyNumberFormat="1" applyFont="1" applyFill="1" applyBorder="1" applyAlignment="1">
      <alignment horizontal="right"/>
    </xf>
    <xf numFmtId="4" fontId="8" fillId="11" borderId="2" xfId="4" applyNumberFormat="1" applyFont="1" applyFill="1" applyBorder="1" applyAlignment="1">
      <alignment horizontal="right"/>
    </xf>
    <xf numFmtId="4" fontId="8" fillId="12" borderId="1" xfId="4" applyNumberFormat="1" applyFont="1" applyFill="1" applyBorder="1" applyAlignment="1">
      <alignment horizontal="right"/>
    </xf>
    <xf numFmtId="4" fontId="8" fillId="11" borderId="1" xfId="4" applyNumberFormat="1" applyFont="1" applyFill="1" applyBorder="1" applyAlignment="1">
      <alignment horizontal="right"/>
    </xf>
    <xf numFmtId="4" fontId="8" fillId="12" borderId="1" xfId="0" applyNumberFormat="1" applyFont="1" applyFill="1" applyBorder="1" applyAlignment="1">
      <alignment horizontal="right"/>
    </xf>
    <xf numFmtId="4" fontId="7" fillId="10" borderId="19" xfId="4" applyNumberFormat="1" applyFont="1" applyFill="1" applyBorder="1" applyAlignment="1">
      <alignment horizontal="right"/>
    </xf>
    <xf numFmtId="165" fontId="20" fillId="12" borderId="1" xfId="7" applyNumberFormat="1" applyFont="1" applyFill="1" applyBorder="1" applyAlignment="1"/>
    <xf numFmtId="165" fontId="20" fillId="0" borderId="1" xfId="7" applyNumberFormat="1" applyFont="1" applyBorder="1" applyAlignment="1"/>
    <xf numFmtId="165" fontId="20" fillId="11" borderId="1" xfId="7" applyNumberFormat="1" applyFont="1" applyFill="1" applyBorder="1" applyAlignment="1"/>
    <xf numFmtId="165" fontId="20" fillId="0" borderId="2" xfId="7" applyNumberFormat="1" applyFont="1" applyBorder="1" applyAlignment="1"/>
    <xf numFmtId="4" fontId="7" fillId="10" borderId="19" xfId="0" applyNumberFormat="1" applyFont="1" applyFill="1" applyBorder="1" applyAlignment="1">
      <alignment horizontal="center" vertical="center" wrapText="1"/>
    </xf>
    <xf numFmtId="4" fontId="21" fillId="11" borderId="2" xfId="0" applyNumberFormat="1" applyFont="1" applyFill="1" applyBorder="1" applyAlignment="1">
      <alignment horizontal="center" vertical="center" wrapText="1"/>
    </xf>
    <xf numFmtId="4" fontId="21" fillId="12" borderId="1" xfId="0" applyNumberFormat="1" applyFont="1" applyFill="1" applyBorder="1" applyAlignment="1">
      <alignment horizontal="center" vertical="center" wrapText="1"/>
    </xf>
    <xf numFmtId="4" fontId="21" fillId="11" borderId="1" xfId="0" applyNumberFormat="1" applyFont="1" applyFill="1" applyBorder="1" applyAlignment="1">
      <alignment horizontal="center" vertical="center" wrapText="1"/>
    </xf>
    <xf numFmtId="4" fontId="22" fillId="11" borderId="1" xfId="0" applyNumberFormat="1" applyFont="1" applyFill="1" applyBorder="1" applyAlignment="1">
      <alignment horizontal="center" vertical="center" wrapText="1"/>
    </xf>
    <xf numFmtId="4" fontId="8" fillId="11" borderId="1" xfId="0" applyNumberFormat="1" applyFont="1" applyFill="1" applyBorder="1" applyAlignment="1">
      <alignment horizontal="right"/>
    </xf>
    <xf numFmtId="4" fontId="0" fillId="0" borderId="0" xfId="0" applyNumberFormat="1"/>
    <xf numFmtId="0" fontId="24" fillId="0" borderId="0" xfId="5" applyFont="1"/>
    <xf numFmtId="0" fontId="24" fillId="3" borderId="0" xfId="5" applyNumberFormat="1" applyFont="1" applyFill="1" applyBorder="1" applyAlignment="1">
      <alignment horizontal="left"/>
    </xf>
    <xf numFmtId="4" fontId="23" fillId="3" borderId="0" xfId="5" applyNumberFormat="1" applyFont="1" applyFill="1" applyBorder="1" applyAlignment="1">
      <alignment horizontal="right"/>
    </xf>
    <xf numFmtId="0" fontId="24" fillId="0" borderId="0" xfId="0" applyFont="1"/>
    <xf numFmtId="0" fontId="8" fillId="0" borderId="0" xfId="0" applyFont="1"/>
    <xf numFmtId="3" fontId="7" fillId="2" borderId="19" xfId="0" applyNumberFormat="1" applyFont="1" applyFill="1" applyBorder="1" applyAlignment="1">
      <alignment horizontal="center" wrapText="1"/>
    </xf>
    <xf numFmtId="4" fontId="21" fillId="10" borderId="19" xfId="0" applyNumberFormat="1" applyFont="1" applyFill="1" applyBorder="1" applyAlignment="1">
      <alignment horizontal="center" vertical="center" wrapText="1"/>
    </xf>
    <xf numFmtId="165" fontId="19" fillId="10" borderId="19" xfId="7" applyNumberFormat="1" applyFont="1" applyFill="1" applyBorder="1" applyAlignment="1"/>
    <xf numFmtId="165" fontId="8" fillId="11" borderId="2" xfId="0" applyNumberFormat="1" applyFont="1" applyFill="1" applyBorder="1" applyAlignment="1">
      <alignment horizontal="right"/>
    </xf>
    <xf numFmtId="165" fontId="20" fillId="11" borderId="2" xfId="7" applyNumberFormat="1" applyFont="1" applyFill="1" applyBorder="1" applyAlignment="1"/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" fontId="21" fillId="14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right"/>
    </xf>
    <xf numFmtId="0" fontId="7" fillId="5" borderId="18" xfId="0" quotePrefix="1" applyNumberFormat="1" applyFont="1" applyFill="1" applyBorder="1" applyAlignment="1">
      <alignment horizontal="center" vertical="center" wrapText="1"/>
    </xf>
    <xf numFmtId="0" fontId="7" fillId="5" borderId="19" xfId="0" applyNumberFormat="1" applyFont="1" applyFill="1" applyBorder="1" applyAlignment="1">
      <alignment horizontal="center" vertical="center" wrapText="1"/>
    </xf>
    <xf numFmtId="4" fontId="7" fillId="5" borderId="19" xfId="0" applyNumberFormat="1" applyFont="1" applyFill="1" applyBorder="1" applyAlignment="1">
      <alignment horizontal="center" vertical="center" wrapText="1"/>
    </xf>
    <xf numFmtId="3" fontId="7" fillId="5" borderId="19" xfId="0" applyNumberFormat="1" applyFont="1" applyFill="1" applyBorder="1" applyAlignment="1">
      <alignment horizontal="center" vertical="center" wrapText="1"/>
    </xf>
    <xf numFmtId="4" fontId="21" fillId="11" borderId="3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right"/>
    </xf>
    <xf numFmtId="4" fontId="8" fillId="0" borderId="3" xfId="4" applyNumberFormat="1" applyFont="1" applyBorder="1" applyAlignment="1">
      <alignment horizontal="right"/>
    </xf>
    <xf numFmtId="0" fontId="8" fillId="3" borderId="28" xfId="0" applyNumberFormat="1" applyFont="1" applyFill="1" applyBorder="1" applyAlignment="1">
      <alignment horizontal="center"/>
    </xf>
    <xf numFmtId="4" fontId="7" fillId="2" borderId="19" xfId="0" applyNumberFormat="1" applyFont="1" applyFill="1" applyBorder="1" applyAlignment="1">
      <alignment horizontal="right"/>
    </xf>
    <xf numFmtId="165" fontId="7" fillId="10" borderId="19" xfId="0" applyNumberFormat="1" applyFont="1" applyFill="1" applyBorder="1" applyAlignment="1">
      <alignment horizontal="right"/>
    </xf>
    <xf numFmtId="4" fontId="19" fillId="10" borderId="19" xfId="7" applyNumberFormat="1" applyFont="1" applyFill="1" applyBorder="1"/>
    <xf numFmtId="0" fontId="8" fillId="6" borderId="28" xfId="0" applyNumberFormat="1" applyFont="1" applyFill="1" applyBorder="1" applyAlignment="1">
      <alignment horizontal="center"/>
    </xf>
    <xf numFmtId="0" fontId="8" fillId="6" borderId="3" xfId="0" applyNumberFormat="1" applyFont="1" applyFill="1" applyBorder="1" applyAlignment="1">
      <alignment horizontal="center" wrapText="1"/>
    </xf>
    <xf numFmtId="4" fontId="21" fillId="12" borderId="3" xfId="0" applyNumberFormat="1" applyFont="1" applyFill="1" applyBorder="1" applyAlignment="1">
      <alignment horizontal="center" vertical="center" wrapText="1"/>
    </xf>
    <xf numFmtId="165" fontId="8" fillId="12" borderId="3" xfId="0" applyNumberFormat="1" applyFont="1" applyFill="1" applyBorder="1" applyAlignment="1">
      <alignment horizontal="right"/>
    </xf>
    <xf numFmtId="4" fontId="8" fillId="12" borderId="3" xfId="0" applyNumberFormat="1" applyFont="1" applyFill="1" applyBorder="1" applyAlignment="1">
      <alignment horizontal="right"/>
    </xf>
    <xf numFmtId="4" fontId="8" fillId="6" borderId="3" xfId="0" applyNumberFormat="1" applyFont="1" applyFill="1" applyBorder="1" applyAlignment="1">
      <alignment horizontal="right"/>
    </xf>
    <xf numFmtId="165" fontId="20" fillId="12" borderId="3" xfId="7" applyNumberFormat="1" applyFont="1" applyFill="1" applyBorder="1" applyAlignment="1"/>
    <xf numFmtId="0" fontId="7" fillId="2" borderId="19" xfId="0" applyNumberFormat="1" applyFont="1" applyFill="1" applyBorder="1" applyAlignment="1">
      <alignment horizontal="center" wrapText="1"/>
    </xf>
    <xf numFmtId="0" fontId="8" fillId="0" borderId="2" xfId="0" applyNumberFormat="1" applyFont="1" applyBorder="1" applyAlignment="1">
      <alignment horizontal="center" wrapText="1"/>
    </xf>
    <xf numFmtId="165" fontId="8" fillId="0" borderId="2" xfId="0" applyNumberFormat="1" applyFont="1" applyBorder="1" applyAlignment="1">
      <alignment horizontal="right"/>
    </xf>
    <xf numFmtId="4" fontId="8" fillId="12" borderId="3" xfId="4" applyNumberFormat="1" applyFont="1" applyFill="1" applyBorder="1" applyAlignment="1">
      <alignment horizontal="right"/>
    </xf>
    <xf numFmtId="4" fontId="8" fillId="6" borderId="3" xfId="4" applyNumberFormat="1" applyFont="1" applyFill="1" applyBorder="1" applyAlignment="1">
      <alignment horizontal="right"/>
    </xf>
    <xf numFmtId="0" fontId="8" fillId="3" borderId="2" xfId="0" applyNumberFormat="1" applyFont="1" applyFill="1" applyBorder="1"/>
    <xf numFmtId="0" fontId="8" fillId="6" borderId="3" xfId="0" applyNumberFormat="1" applyFont="1" applyFill="1" applyBorder="1" applyAlignment="1">
      <alignment horizontal="center"/>
    </xf>
    <xf numFmtId="4" fontId="7" fillId="10" borderId="19" xfId="4" applyNumberFormat="1" applyFont="1" applyFill="1" applyBorder="1" applyAlignment="1">
      <alignment horizontal="right" wrapText="1"/>
    </xf>
    <xf numFmtId="4" fontId="7" fillId="2" borderId="19" xfId="4" applyNumberFormat="1" applyFont="1" applyFill="1" applyBorder="1" applyAlignment="1">
      <alignment horizontal="right" wrapText="1"/>
    </xf>
    <xf numFmtId="49" fontId="8" fillId="6" borderId="3" xfId="0" applyNumberFormat="1" applyFont="1" applyFill="1" applyBorder="1" applyAlignment="1">
      <alignment horizontal="center" shrinkToFit="1"/>
    </xf>
    <xf numFmtId="49" fontId="7" fillId="2" borderId="19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" fontId="7" fillId="12" borderId="3" xfId="4" applyNumberFormat="1" applyFont="1" applyFill="1" applyBorder="1" applyAlignment="1">
      <alignment horizontal="right"/>
    </xf>
    <xf numFmtId="4" fontId="7" fillId="6" borderId="3" xfId="4" applyNumberFormat="1" applyFont="1" applyFill="1" applyBorder="1" applyAlignment="1">
      <alignment horizontal="right"/>
    </xf>
    <xf numFmtId="49" fontId="8" fillId="0" borderId="2" xfId="0" applyNumberFormat="1" applyFont="1" applyBorder="1" applyAlignment="1">
      <alignment horizontal="center" shrinkToFit="1"/>
    </xf>
    <xf numFmtId="0" fontId="8" fillId="2" borderId="18" xfId="0" applyNumberFormat="1" applyFont="1" applyFill="1" applyBorder="1" applyAlignment="1">
      <alignment horizontal="center"/>
    </xf>
    <xf numFmtId="0" fontId="7" fillId="2" borderId="19" xfId="0" quotePrefix="1" applyNumberFormat="1" applyFont="1" applyFill="1" applyBorder="1" applyAlignment="1">
      <alignment horizontal="center" vertical="justify"/>
    </xf>
    <xf numFmtId="0" fontId="7" fillId="3" borderId="13" xfId="0" applyNumberFormat="1" applyFont="1" applyFill="1" applyBorder="1" applyAlignment="1">
      <alignment horizontal="center"/>
    </xf>
    <xf numFmtId="4" fontId="22" fillId="14" borderId="1" xfId="0" applyNumberFormat="1" applyFont="1" applyFill="1" applyBorder="1" applyAlignment="1">
      <alignment horizontal="center" vertical="center" wrapText="1"/>
    </xf>
    <xf numFmtId="165" fontId="20" fillId="14" borderId="1" xfId="7" applyNumberFormat="1" applyFont="1" applyFill="1" applyBorder="1" applyAlignment="1"/>
    <xf numFmtId="4" fontId="8" fillId="14" borderId="1" xfId="4" applyNumberFormat="1" applyFont="1" applyFill="1" applyBorder="1" applyAlignment="1">
      <alignment horizontal="right"/>
    </xf>
    <xf numFmtId="165" fontId="8" fillId="14" borderId="1" xfId="0" applyNumberFormat="1" applyFont="1" applyFill="1" applyBorder="1" applyAlignment="1">
      <alignment horizontal="right"/>
    </xf>
    <xf numFmtId="4" fontId="8" fillId="14" borderId="1" xfId="0" applyNumberFormat="1" applyFont="1" applyFill="1" applyBorder="1" applyAlignment="1">
      <alignment horizontal="right"/>
    </xf>
    <xf numFmtId="4" fontId="21" fillId="15" borderId="1" xfId="0" applyNumberFormat="1" applyFont="1" applyFill="1" applyBorder="1" applyAlignment="1">
      <alignment horizontal="center" vertical="center" wrapText="1"/>
    </xf>
    <xf numFmtId="165" fontId="8" fillId="6" borderId="1" xfId="0" applyNumberFormat="1" applyFont="1" applyFill="1" applyBorder="1" applyAlignment="1">
      <alignment horizontal="right"/>
    </xf>
    <xf numFmtId="165" fontId="20" fillId="6" borderId="1" xfId="7" applyNumberFormat="1" applyFont="1" applyFill="1" applyBorder="1" applyAlignment="1"/>
    <xf numFmtId="0" fontId="0" fillId="0" borderId="0" xfId="0"/>
    <xf numFmtId="0" fontId="27" fillId="0" borderId="0" xfId="0" applyFont="1"/>
    <xf numFmtId="0" fontId="12" fillId="0" borderId="0" xfId="0" applyFont="1" applyAlignment="1">
      <alignment horizontal="center"/>
    </xf>
    <xf numFmtId="0" fontId="28" fillId="0" borderId="0" xfId="0" applyFont="1"/>
    <xf numFmtId="4" fontId="28" fillId="0" borderId="0" xfId="0" applyNumberFormat="1" applyFont="1" applyBorder="1"/>
    <xf numFmtId="3" fontId="28" fillId="0" borderId="0" xfId="0" applyNumberFormat="1" applyFont="1"/>
    <xf numFmtId="3" fontId="28" fillId="0" borderId="0" xfId="0" applyNumberFormat="1" applyFont="1" applyBorder="1"/>
    <xf numFmtId="4" fontId="12" fillId="0" borderId="0" xfId="0" applyNumberFormat="1" applyFont="1" applyBorder="1"/>
    <xf numFmtId="4" fontId="28" fillId="0" borderId="0" xfId="0" applyNumberFormat="1" applyFont="1"/>
    <xf numFmtId="0" fontId="12" fillId="0" borderId="0" xfId="0" applyNumberFormat="1" applyFont="1" applyBorder="1" applyAlignment="1">
      <alignment horizontal="center"/>
    </xf>
    <xf numFmtId="0" fontId="28" fillId="0" borderId="0" xfId="0" applyNumberFormat="1" applyFont="1" applyBorder="1"/>
    <xf numFmtId="3" fontId="29" fillId="0" borderId="0" xfId="0" applyNumberFormat="1" applyFont="1" applyAlignment="1">
      <alignment horizontal="center"/>
    </xf>
    <xf numFmtId="0" fontId="7" fillId="8" borderId="30" xfId="0" applyNumberFormat="1" applyFont="1" applyFill="1" applyBorder="1" applyAlignment="1">
      <alignment horizontal="center"/>
    </xf>
    <xf numFmtId="0" fontId="7" fillId="8" borderId="31" xfId="0" applyNumberFormat="1" applyFont="1" applyFill="1" applyBorder="1" applyAlignment="1">
      <alignment horizontal="center"/>
    </xf>
    <xf numFmtId="0" fontId="7" fillId="8" borderId="3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" fontId="7" fillId="5" borderId="7" xfId="0" applyNumberFormat="1" applyFont="1" applyFill="1" applyBorder="1" applyAlignment="1">
      <alignment horizontal="center" vertical="center" wrapText="1"/>
    </xf>
    <xf numFmtId="4" fontId="7" fillId="5" borderId="8" xfId="0" applyNumberFormat="1" applyFont="1" applyFill="1" applyBorder="1" applyAlignment="1">
      <alignment horizontal="center" vertical="center" wrapText="1"/>
    </xf>
    <xf numFmtId="4" fontId="7" fillId="2" borderId="20" xfId="4" applyNumberFormat="1" applyFont="1" applyFill="1" applyBorder="1" applyAlignment="1">
      <alignment horizontal="right"/>
    </xf>
    <xf numFmtId="4" fontId="8" fillId="0" borderId="34" xfId="4" applyNumberFormat="1" applyFont="1" applyBorder="1" applyAlignment="1">
      <alignment horizontal="right"/>
    </xf>
    <xf numFmtId="4" fontId="8" fillId="0" borderId="15" xfId="4" applyNumberFormat="1" applyFont="1" applyBorder="1" applyAlignment="1">
      <alignment horizontal="right"/>
    </xf>
    <xf numFmtId="4" fontId="8" fillId="0" borderId="27" xfId="4" applyNumberFormat="1" applyFont="1" applyBorder="1" applyAlignment="1">
      <alignment horizontal="right"/>
    </xf>
    <xf numFmtId="4" fontId="7" fillId="2" borderId="20" xfId="0" applyNumberFormat="1" applyFont="1" applyFill="1" applyBorder="1" applyAlignment="1">
      <alignment horizontal="right"/>
    </xf>
    <xf numFmtId="4" fontId="8" fillId="0" borderId="34" xfId="0" applyNumberFormat="1" applyFont="1" applyBorder="1" applyAlignment="1">
      <alignment horizontal="right"/>
    </xf>
    <xf numFmtId="4" fontId="8" fillId="3" borderId="15" xfId="0" applyNumberFormat="1" applyFont="1" applyFill="1" applyBorder="1" applyAlignment="1">
      <alignment horizontal="right"/>
    </xf>
    <xf numFmtId="4" fontId="8" fillId="3" borderId="27" xfId="0" applyNumberFormat="1" applyFont="1" applyFill="1" applyBorder="1" applyAlignment="1">
      <alignment horizontal="right"/>
    </xf>
    <xf numFmtId="4" fontId="8" fillId="6" borderId="34" xfId="0" applyNumberFormat="1" applyFont="1" applyFill="1" applyBorder="1" applyAlignment="1">
      <alignment horizontal="right"/>
    </xf>
    <xf numFmtId="4" fontId="8" fillId="0" borderId="15" xfId="0" applyNumberFormat="1" applyFont="1" applyBorder="1" applyAlignment="1">
      <alignment horizontal="right"/>
    </xf>
    <xf numFmtId="4" fontId="8" fillId="6" borderId="15" xfId="0" applyNumberFormat="1" applyFont="1" applyFill="1" applyBorder="1" applyAlignment="1">
      <alignment horizontal="right"/>
    </xf>
    <xf numFmtId="4" fontId="8" fillId="6" borderId="15" xfId="4" applyNumberFormat="1" applyFont="1" applyFill="1" applyBorder="1" applyAlignment="1">
      <alignment horizontal="right"/>
    </xf>
    <xf numFmtId="4" fontId="8" fillId="6" borderId="34" xfId="4" applyNumberFormat="1" applyFont="1" applyFill="1" applyBorder="1" applyAlignment="1">
      <alignment horizontal="right"/>
    </xf>
    <xf numFmtId="4" fontId="8" fillId="3" borderId="15" xfId="4" applyNumberFormat="1" applyFont="1" applyFill="1" applyBorder="1" applyAlignment="1">
      <alignment horizontal="right"/>
    </xf>
    <xf numFmtId="4" fontId="8" fillId="3" borderId="27" xfId="4" applyNumberFormat="1" applyFont="1" applyFill="1" applyBorder="1" applyAlignment="1">
      <alignment horizontal="right"/>
    </xf>
    <xf numFmtId="4" fontId="7" fillId="2" borderId="20" xfId="4" applyNumberFormat="1" applyFont="1" applyFill="1" applyBorder="1" applyAlignment="1">
      <alignment horizontal="right" wrapText="1"/>
    </xf>
    <xf numFmtId="4" fontId="7" fillId="6" borderId="34" xfId="4" applyNumberFormat="1" applyFont="1" applyFill="1" applyBorder="1" applyAlignment="1">
      <alignment horizontal="right"/>
    </xf>
    <xf numFmtId="0" fontId="20" fillId="3" borderId="3" xfId="0" applyFont="1" applyFill="1" applyBorder="1" applyAlignment="1">
      <alignment horizontal="left" vertical="top" wrapText="1"/>
    </xf>
    <xf numFmtId="165" fontId="32" fillId="3" borderId="3" xfId="0" applyNumberFormat="1" applyFont="1" applyFill="1" applyBorder="1" applyAlignment="1">
      <alignment horizontal="right" vertical="top"/>
    </xf>
    <xf numFmtId="0" fontId="20" fillId="3" borderId="1" xfId="0" applyFont="1" applyFill="1" applyBorder="1" applyAlignment="1">
      <alignment horizontal="left" vertical="top" wrapText="1"/>
    </xf>
    <xf numFmtId="165" fontId="32" fillId="3" borderId="1" xfId="0" applyNumberFormat="1" applyFont="1" applyFill="1" applyBorder="1" applyAlignment="1">
      <alignment horizontal="right" vertical="top"/>
    </xf>
    <xf numFmtId="4" fontId="32" fillId="3" borderId="1" xfId="0" applyNumberFormat="1" applyFont="1" applyFill="1" applyBorder="1" applyAlignment="1">
      <alignment vertical="top"/>
    </xf>
    <xf numFmtId="165" fontId="32" fillId="3" borderId="5" xfId="0" applyNumberFormat="1" applyFont="1" applyFill="1" applyBorder="1" applyAlignment="1">
      <alignment horizontal="right" vertical="top"/>
    </xf>
    <xf numFmtId="165" fontId="31" fillId="3" borderId="19" xfId="0" applyNumberFormat="1" applyFont="1" applyFill="1" applyBorder="1" applyAlignment="1">
      <alignment horizontal="right" vertical="top"/>
    </xf>
    <xf numFmtId="165" fontId="20" fillId="3" borderId="3" xfId="0" applyNumberFormat="1" applyFont="1" applyFill="1" applyBorder="1" applyAlignment="1">
      <alignment horizontal="right" vertical="top" wrapText="1"/>
    </xf>
    <xf numFmtId="165" fontId="20" fillId="3" borderId="34" xfId="0" applyNumberFormat="1" applyFont="1" applyFill="1" applyBorder="1" applyAlignment="1">
      <alignment horizontal="right" vertical="top" wrapText="1"/>
    </xf>
    <xf numFmtId="165" fontId="20" fillId="3" borderId="1" xfId="0" applyNumberFormat="1" applyFont="1" applyFill="1" applyBorder="1" applyAlignment="1">
      <alignment horizontal="right" vertical="top" wrapText="1"/>
    </xf>
    <xf numFmtId="165" fontId="20" fillId="3" borderId="15" xfId="0" applyNumberFormat="1" applyFont="1" applyFill="1" applyBorder="1" applyAlignment="1">
      <alignment horizontal="right" vertical="top" wrapText="1"/>
    </xf>
    <xf numFmtId="165" fontId="32" fillId="3" borderId="15" xfId="0" applyNumberFormat="1" applyFont="1" applyFill="1" applyBorder="1" applyAlignment="1">
      <alignment horizontal="right" vertical="top"/>
    </xf>
    <xf numFmtId="4" fontId="21" fillId="10" borderId="26" xfId="0" applyNumberFormat="1" applyFont="1" applyFill="1" applyBorder="1" applyAlignment="1">
      <alignment horizontal="center" vertical="center" wrapText="1"/>
    </xf>
    <xf numFmtId="0" fontId="7" fillId="2" borderId="16" xfId="0" applyNumberFormat="1" applyFont="1" applyFill="1" applyBorder="1" applyAlignment="1">
      <alignment horizontal="center"/>
    </xf>
    <xf numFmtId="4" fontId="7" fillId="2" borderId="26" xfId="4" applyNumberFormat="1" applyFont="1" applyFill="1" applyBorder="1" applyAlignment="1">
      <alignment horizontal="right"/>
    </xf>
    <xf numFmtId="4" fontId="7" fillId="10" borderId="26" xfId="4" applyNumberFormat="1" applyFont="1" applyFill="1" applyBorder="1" applyAlignment="1">
      <alignment horizontal="right"/>
    </xf>
    <xf numFmtId="4" fontId="7" fillId="2" borderId="17" xfId="4" applyNumberFormat="1" applyFont="1" applyFill="1" applyBorder="1" applyAlignment="1">
      <alignment horizontal="right"/>
    </xf>
    <xf numFmtId="3" fontId="28" fillId="3" borderId="0" xfId="0" applyNumberFormat="1" applyFont="1" applyFill="1"/>
    <xf numFmtId="165" fontId="20" fillId="12" borderId="3" xfId="7" applyNumberFormat="1" applyFont="1" applyFill="1" applyBorder="1"/>
    <xf numFmtId="165" fontId="20" fillId="0" borderId="1" xfId="7" applyNumberFormat="1" applyFont="1" applyBorder="1"/>
    <xf numFmtId="165" fontId="20" fillId="6" borderId="1" xfId="7" applyNumberFormat="1" applyFont="1" applyFill="1" applyBorder="1"/>
    <xf numFmtId="165" fontId="20" fillId="14" borderId="1" xfId="7" applyNumberFormat="1" applyFont="1" applyFill="1" applyBorder="1"/>
    <xf numFmtId="165" fontId="20" fillId="12" borderId="1" xfId="7" applyNumberFormat="1" applyFont="1" applyFill="1" applyBorder="1"/>
    <xf numFmtId="165" fontId="20" fillId="0" borderId="2" xfId="7" applyNumberFormat="1" applyFont="1" applyBorder="1"/>
    <xf numFmtId="165" fontId="19" fillId="10" borderId="19" xfId="7" applyNumberFormat="1" applyFont="1" applyFill="1" applyBorder="1"/>
    <xf numFmtId="165" fontId="20" fillId="11" borderId="1" xfId="7" applyNumberFormat="1" applyFont="1" applyFill="1" applyBorder="1"/>
    <xf numFmtId="165" fontId="20" fillId="11" borderId="2" xfId="7" applyNumberFormat="1" applyFont="1" applyFill="1" applyBorder="1"/>
    <xf numFmtId="0" fontId="10" fillId="16" borderId="6" xfId="0" applyFont="1" applyFill="1" applyBorder="1" applyAlignment="1">
      <alignment horizontal="center" vertical="top" wrapText="1"/>
    </xf>
    <xf numFmtId="0" fontId="10" fillId="16" borderId="7" xfId="0" applyFont="1" applyFill="1" applyBorder="1" applyAlignment="1">
      <alignment horizontal="center" vertical="top" wrapText="1"/>
    </xf>
    <xf numFmtId="0" fontId="10" fillId="16" borderId="7" xfId="0" applyFont="1" applyFill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center" vertical="center" wrapText="1"/>
    </xf>
    <xf numFmtId="1" fontId="20" fillId="3" borderId="28" xfId="0" applyNumberFormat="1" applyFont="1" applyFill="1" applyBorder="1" applyAlignment="1">
      <alignment horizontal="center" vertical="top"/>
    </xf>
    <xf numFmtId="1" fontId="20" fillId="3" borderId="13" xfId="0" applyNumberFormat="1" applyFont="1" applyFill="1" applyBorder="1" applyAlignment="1">
      <alignment horizontal="center" vertical="top"/>
    </xf>
    <xf numFmtId="1" fontId="20" fillId="3" borderId="25" xfId="0" applyNumberFormat="1" applyFont="1" applyFill="1" applyBorder="1" applyAlignment="1">
      <alignment horizontal="center" vertical="top"/>
    </xf>
    <xf numFmtId="0" fontId="20" fillId="3" borderId="2" xfId="0" applyFont="1" applyFill="1" applyBorder="1" applyAlignment="1">
      <alignment horizontal="left" vertical="top" wrapText="1"/>
    </xf>
    <xf numFmtId="165" fontId="32" fillId="3" borderId="2" xfId="0" applyNumberFormat="1" applyFont="1" applyFill="1" applyBorder="1" applyAlignment="1">
      <alignment horizontal="right" vertical="top"/>
    </xf>
    <xf numFmtId="165" fontId="20" fillId="3" borderId="2" xfId="0" applyNumberFormat="1" applyFont="1" applyFill="1" applyBorder="1" applyAlignment="1">
      <alignment horizontal="right" vertical="top" wrapText="1"/>
    </xf>
    <xf numFmtId="165" fontId="10" fillId="18" borderId="19" xfId="0" applyNumberFormat="1" applyFont="1" applyFill="1" applyBorder="1" applyAlignment="1">
      <alignment horizontal="right" vertical="top"/>
    </xf>
    <xf numFmtId="1" fontId="10" fillId="18" borderId="18" xfId="0" applyNumberFormat="1" applyFont="1" applyFill="1" applyBorder="1" applyAlignment="1">
      <alignment horizontal="center" vertical="top"/>
    </xf>
    <xf numFmtId="0" fontId="10" fillId="18" borderId="19" xfId="0" applyFont="1" applyFill="1" applyBorder="1" applyAlignment="1">
      <alignment horizontal="left" vertical="top" wrapText="1"/>
    </xf>
    <xf numFmtId="165" fontId="10" fillId="18" borderId="19" xfId="0" applyNumberFormat="1" applyFont="1" applyFill="1" applyBorder="1" applyAlignment="1">
      <alignment horizontal="right" vertical="top" wrapText="1"/>
    </xf>
    <xf numFmtId="165" fontId="10" fillId="18" borderId="20" xfId="0" applyNumberFormat="1" applyFont="1" applyFill="1" applyBorder="1" applyAlignment="1">
      <alignment horizontal="right" vertical="top" wrapText="1"/>
    </xf>
    <xf numFmtId="1" fontId="10" fillId="18" borderId="6" xfId="0" applyNumberFormat="1" applyFont="1" applyFill="1" applyBorder="1" applyAlignment="1">
      <alignment horizontal="center" vertical="top"/>
    </xf>
    <xf numFmtId="4" fontId="10" fillId="18" borderId="7" xfId="0" applyNumberFormat="1" applyFont="1" applyFill="1" applyBorder="1" applyAlignment="1">
      <alignment vertical="top"/>
    </xf>
    <xf numFmtId="165" fontId="10" fillId="18" borderId="7" xfId="0" applyNumberFormat="1" applyFont="1" applyFill="1" applyBorder="1" applyAlignment="1">
      <alignment vertical="top"/>
    </xf>
    <xf numFmtId="165" fontId="10" fillId="18" borderId="7" xfId="0" applyNumberFormat="1" applyFont="1" applyFill="1" applyBorder="1" applyAlignment="1">
      <alignment horizontal="right" vertical="top"/>
    </xf>
    <xf numFmtId="165" fontId="10" fillId="18" borderId="8" xfId="0" applyNumberFormat="1" applyFont="1" applyFill="1" applyBorder="1" applyAlignment="1">
      <alignment horizontal="right" vertical="top"/>
    </xf>
    <xf numFmtId="165" fontId="31" fillId="2" borderId="19" xfId="0" applyNumberFormat="1" applyFont="1" applyFill="1" applyBorder="1" applyAlignment="1">
      <alignment vertical="top"/>
    </xf>
    <xf numFmtId="165" fontId="31" fillId="2" borderId="19" xfId="0" applyNumberFormat="1" applyFont="1" applyFill="1" applyBorder="1" applyAlignment="1">
      <alignment horizontal="right" vertical="top"/>
    </xf>
    <xf numFmtId="1" fontId="7" fillId="2" borderId="18" xfId="0" applyNumberFormat="1" applyFont="1" applyFill="1" applyBorder="1" applyAlignment="1">
      <alignment horizontal="center" vertical="top"/>
    </xf>
    <xf numFmtId="4" fontId="7" fillId="2" borderId="19" xfId="0" applyNumberFormat="1" applyFont="1" applyFill="1" applyBorder="1" applyAlignment="1">
      <alignment vertical="top"/>
    </xf>
    <xf numFmtId="165" fontId="7" fillId="2" borderId="19" xfId="0" applyNumberFormat="1" applyFont="1" applyFill="1" applyBorder="1" applyAlignment="1">
      <alignment horizontal="right" vertical="top"/>
    </xf>
    <xf numFmtId="165" fontId="7" fillId="2" borderId="20" xfId="0" applyNumberFormat="1" applyFont="1" applyFill="1" applyBorder="1" applyAlignment="1">
      <alignment horizontal="right" vertical="top"/>
    </xf>
    <xf numFmtId="1" fontId="20" fillId="3" borderId="12" xfId="0" applyNumberFormat="1" applyFont="1" applyFill="1" applyBorder="1" applyAlignment="1">
      <alignment horizontal="center" vertical="top"/>
    </xf>
    <xf numFmtId="0" fontId="20" fillId="3" borderId="10" xfId="0" applyFont="1" applyFill="1" applyBorder="1" applyAlignment="1">
      <alignment horizontal="left" vertical="top" wrapText="1"/>
    </xf>
    <xf numFmtId="165" fontId="32" fillId="3" borderId="10" xfId="0" applyNumberFormat="1" applyFont="1" applyFill="1" applyBorder="1" applyAlignment="1">
      <alignment horizontal="right" vertical="top"/>
    </xf>
    <xf numFmtId="165" fontId="20" fillId="3" borderId="10" xfId="0" applyNumberFormat="1" applyFont="1" applyFill="1" applyBorder="1" applyAlignment="1">
      <alignment horizontal="right" vertical="top" wrapText="1"/>
    </xf>
    <xf numFmtId="165" fontId="20" fillId="3" borderId="11" xfId="0" applyNumberFormat="1" applyFont="1" applyFill="1" applyBorder="1" applyAlignment="1">
      <alignment horizontal="right" vertical="top" wrapText="1"/>
    </xf>
    <xf numFmtId="1" fontId="20" fillId="3" borderId="29" xfId="0" applyNumberFormat="1" applyFont="1" applyFill="1" applyBorder="1" applyAlignment="1">
      <alignment horizontal="center" vertical="top"/>
    </xf>
    <xf numFmtId="0" fontId="20" fillId="3" borderId="5" xfId="0" applyFont="1" applyFill="1" applyBorder="1" applyAlignment="1">
      <alignment horizontal="left" vertical="top" wrapText="1"/>
    </xf>
    <xf numFmtId="165" fontId="20" fillId="3" borderId="5" xfId="0" applyNumberFormat="1" applyFont="1" applyFill="1" applyBorder="1" applyAlignment="1">
      <alignment horizontal="right" vertical="top" wrapText="1"/>
    </xf>
    <xf numFmtId="165" fontId="20" fillId="3" borderId="9" xfId="0" applyNumberFormat="1" applyFont="1" applyFill="1" applyBorder="1" applyAlignment="1">
      <alignment horizontal="right" vertical="top" wrapText="1"/>
    </xf>
    <xf numFmtId="1" fontId="19" fillId="2" borderId="18" xfId="0" applyNumberFormat="1" applyFont="1" applyFill="1" applyBorder="1" applyAlignment="1">
      <alignment horizontal="center" vertical="top"/>
    </xf>
    <xf numFmtId="0" fontId="19" fillId="2" borderId="19" xfId="0" applyFont="1" applyFill="1" applyBorder="1" applyAlignment="1">
      <alignment horizontal="left" vertical="top" wrapText="1"/>
    </xf>
    <xf numFmtId="165" fontId="19" fillId="2" borderId="19" xfId="0" applyNumberFormat="1" applyFont="1" applyFill="1" applyBorder="1" applyAlignment="1">
      <alignment horizontal="right" vertical="top" wrapText="1"/>
    </xf>
    <xf numFmtId="165" fontId="19" fillId="2" borderId="20" xfId="0" applyNumberFormat="1" applyFont="1" applyFill="1" applyBorder="1" applyAlignment="1">
      <alignment horizontal="right" vertical="top" wrapText="1"/>
    </xf>
    <xf numFmtId="1" fontId="20" fillId="3" borderId="37" xfId="0" applyNumberFormat="1" applyFont="1" applyFill="1" applyBorder="1" applyAlignment="1">
      <alignment horizontal="center" vertical="top"/>
    </xf>
    <xf numFmtId="0" fontId="20" fillId="3" borderId="4" xfId="0" applyFont="1" applyFill="1" applyBorder="1" applyAlignment="1">
      <alignment horizontal="left" vertical="top" wrapText="1"/>
    </xf>
    <xf numFmtId="165" fontId="32" fillId="3" borderId="4" xfId="0" applyNumberFormat="1" applyFont="1" applyFill="1" applyBorder="1" applyAlignment="1">
      <alignment horizontal="right" vertical="top"/>
    </xf>
    <xf numFmtId="165" fontId="20" fillId="3" borderId="4" xfId="0" applyNumberFormat="1" applyFont="1" applyFill="1" applyBorder="1" applyAlignment="1">
      <alignment horizontal="right" vertical="top" wrapText="1"/>
    </xf>
    <xf numFmtId="4" fontId="32" fillId="3" borderId="3" xfId="0" applyNumberFormat="1" applyFont="1" applyFill="1" applyBorder="1" applyAlignment="1">
      <alignment vertical="top"/>
    </xf>
    <xf numFmtId="4" fontId="32" fillId="3" borderId="2" xfId="0" applyNumberFormat="1" applyFont="1" applyFill="1" applyBorder="1" applyAlignment="1">
      <alignment vertical="top"/>
    </xf>
    <xf numFmtId="4" fontId="31" fillId="2" borderId="19" xfId="0" applyNumberFormat="1" applyFont="1" applyFill="1" applyBorder="1" applyAlignment="1">
      <alignment vertical="top"/>
    </xf>
    <xf numFmtId="165" fontId="31" fillId="2" borderId="20" xfId="0" applyNumberFormat="1" applyFont="1" applyFill="1" applyBorder="1" applyAlignment="1">
      <alignment horizontal="right" vertical="top"/>
    </xf>
    <xf numFmtId="4" fontId="32" fillId="3" borderId="4" xfId="0" applyNumberFormat="1" applyFont="1" applyFill="1" applyBorder="1" applyAlignment="1">
      <alignment vertical="top"/>
    </xf>
    <xf numFmtId="1" fontId="19" fillId="3" borderId="18" xfId="0" applyNumberFormat="1" applyFont="1" applyFill="1" applyBorder="1" applyAlignment="1">
      <alignment horizontal="center" vertical="top"/>
    </xf>
    <xf numFmtId="0" fontId="19" fillId="3" borderId="19" xfId="0" applyFont="1" applyFill="1" applyBorder="1" applyAlignment="1">
      <alignment horizontal="left" vertical="top" wrapText="1"/>
    </xf>
    <xf numFmtId="165" fontId="19" fillId="3" borderId="19" xfId="0" applyNumberFormat="1" applyFont="1" applyFill="1" applyBorder="1" applyAlignment="1">
      <alignment horizontal="right" vertical="top" wrapText="1"/>
    </xf>
    <xf numFmtId="165" fontId="19" fillId="3" borderId="20" xfId="0" applyNumberFormat="1" applyFont="1" applyFill="1" applyBorder="1" applyAlignment="1">
      <alignment horizontal="right" vertical="top" wrapText="1"/>
    </xf>
    <xf numFmtId="1" fontId="7" fillId="6" borderId="6" xfId="0" applyNumberFormat="1" applyFont="1" applyFill="1" applyBorder="1" applyAlignment="1">
      <alignment horizontal="center" vertical="top"/>
    </xf>
    <xf numFmtId="4" fontId="7" fillId="6" borderId="7" xfId="0" applyNumberFormat="1" applyFont="1" applyFill="1" applyBorder="1" applyAlignment="1">
      <alignment vertical="top"/>
    </xf>
    <xf numFmtId="165" fontId="31" fillId="6" borderId="7" xfId="0" applyNumberFormat="1" applyFont="1" applyFill="1" applyBorder="1" applyAlignment="1">
      <alignment vertical="top"/>
    </xf>
    <xf numFmtId="165" fontId="7" fillId="6" borderId="7" xfId="0" applyNumberFormat="1" applyFont="1" applyFill="1" applyBorder="1" applyAlignment="1">
      <alignment horizontal="right" vertical="top"/>
    </xf>
    <xf numFmtId="165" fontId="31" fillId="6" borderId="7" xfId="0" applyNumberFormat="1" applyFont="1" applyFill="1" applyBorder="1" applyAlignment="1">
      <alignment horizontal="right" vertical="top"/>
    </xf>
    <xf numFmtId="165" fontId="7" fillId="6" borderId="8" xfId="0" applyNumberFormat="1" applyFont="1" applyFill="1" applyBorder="1" applyAlignment="1">
      <alignment horizontal="right" vertical="top"/>
    </xf>
    <xf numFmtId="1" fontId="19" fillId="6" borderId="18" xfId="0" applyNumberFormat="1" applyFont="1" applyFill="1" applyBorder="1" applyAlignment="1">
      <alignment horizontal="center" vertical="top"/>
    </xf>
    <xf numFmtId="0" fontId="19" fillId="6" borderId="19" xfId="0" applyFont="1" applyFill="1" applyBorder="1" applyAlignment="1">
      <alignment horizontal="left" vertical="top" wrapText="1"/>
    </xf>
    <xf numFmtId="165" fontId="31" fillId="6" borderId="19" xfId="0" applyNumberFormat="1" applyFont="1" applyFill="1" applyBorder="1" applyAlignment="1">
      <alignment horizontal="right" vertical="top"/>
    </xf>
    <xf numFmtId="165" fontId="19" fillId="6" borderId="19" xfId="0" applyNumberFormat="1" applyFont="1" applyFill="1" applyBorder="1" applyAlignment="1">
      <alignment horizontal="right" vertical="top" wrapText="1"/>
    </xf>
    <xf numFmtId="165" fontId="19" fillId="6" borderId="20" xfId="0" applyNumberFormat="1" applyFont="1" applyFill="1" applyBorder="1" applyAlignment="1">
      <alignment horizontal="right" vertical="top" wrapText="1"/>
    </xf>
    <xf numFmtId="4" fontId="31" fillId="6" borderId="19" xfId="0" applyNumberFormat="1" applyFont="1" applyFill="1" applyBorder="1" applyAlignment="1">
      <alignment vertical="top"/>
    </xf>
    <xf numFmtId="165" fontId="31" fillId="6" borderId="20" xfId="0" applyNumberFormat="1" applyFont="1" applyFill="1" applyBorder="1" applyAlignment="1">
      <alignment horizontal="right" vertical="top"/>
    </xf>
    <xf numFmtId="0" fontId="20" fillId="3" borderId="2" xfId="0" applyFont="1" applyFill="1" applyBorder="1" applyAlignment="1">
      <alignment horizontal="left" vertical="top"/>
    </xf>
    <xf numFmtId="165" fontId="20" fillId="3" borderId="2" xfId="0" applyNumberFormat="1" applyFont="1" applyFill="1" applyBorder="1" applyAlignment="1">
      <alignment horizontal="right" vertical="top"/>
    </xf>
    <xf numFmtId="0" fontId="19" fillId="6" borderId="19" xfId="0" applyFont="1" applyFill="1" applyBorder="1" applyAlignment="1">
      <alignment horizontal="left" vertical="top"/>
    </xf>
    <xf numFmtId="165" fontId="19" fillId="6" borderId="19" xfId="0" applyNumberFormat="1" applyFont="1" applyFill="1" applyBorder="1" applyAlignment="1">
      <alignment horizontal="right" vertical="top"/>
    </xf>
    <xf numFmtId="165" fontId="19" fillId="6" borderId="20" xfId="0" applyNumberFormat="1" applyFont="1" applyFill="1" applyBorder="1" applyAlignment="1">
      <alignment horizontal="right" vertical="top"/>
    </xf>
    <xf numFmtId="1" fontId="19" fillId="6" borderId="28" xfId="0" applyNumberFormat="1" applyFont="1" applyFill="1" applyBorder="1" applyAlignment="1">
      <alignment horizontal="center" vertical="top"/>
    </xf>
    <xf numFmtId="0" fontId="19" fillId="6" borderId="3" xfId="0" applyFont="1" applyFill="1" applyBorder="1" applyAlignment="1">
      <alignment horizontal="left" vertical="top" wrapText="1"/>
    </xf>
    <xf numFmtId="165" fontId="31" fillId="6" borderId="3" xfId="0" applyNumberFormat="1" applyFont="1" applyFill="1" applyBorder="1" applyAlignment="1">
      <alignment horizontal="right" vertical="top"/>
    </xf>
    <xf numFmtId="165" fontId="19" fillId="6" borderId="3" xfId="0" applyNumberFormat="1" applyFont="1" applyFill="1" applyBorder="1" applyAlignment="1">
      <alignment horizontal="right" vertical="top" wrapText="1"/>
    </xf>
    <xf numFmtId="0" fontId="20" fillId="3" borderId="4" xfId="0" applyFont="1" applyFill="1" applyBorder="1" applyAlignment="1">
      <alignment horizontal="left" vertical="top"/>
    </xf>
    <xf numFmtId="165" fontId="20" fillId="3" borderId="4" xfId="0" applyNumberFormat="1" applyFont="1" applyFill="1" applyBorder="1" applyAlignment="1">
      <alignment horizontal="right" vertical="top"/>
    </xf>
    <xf numFmtId="0" fontId="19" fillId="2" borderId="19" xfId="0" applyFont="1" applyFill="1" applyBorder="1" applyAlignment="1">
      <alignment horizontal="left" vertical="top"/>
    </xf>
    <xf numFmtId="165" fontId="19" fillId="2" borderId="19" xfId="0" applyNumberFormat="1" applyFont="1" applyFill="1" applyBorder="1" applyAlignment="1">
      <alignment horizontal="right" vertical="top"/>
    </xf>
    <xf numFmtId="165" fontId="19" fillId="2" borderId="20" xfId="0" applyNumberFormat="1" applyFont="1" applyFill="1" applyBorder="1" applyAlignment="1">
      <alignment horizontal="right" vertical="top"/>
    </xf>
    <xf numFmtId="1" fontId="32" fillId="3" borderId="37" xfId="0" applyNumberFormat="1" applyFont="1" applyFill="1" applyBorder="1" applyAlignment="1">
      <alignment horizontal="center"/>
    </xf>
    <xf numFmtId="0" fontId="20" fillId="3" borderId="4" xfId="0" applyFont="1" applyFill="1" applyBorder="1" applyAlignment="1">
      <alignment wrapText="1"/>
    </xf>
    <xf numFmtId="165" fontId="20" fillId="3" borderId="4" xfId="0" applyNumberFormat="1" applyFont="1" applyFill="1" applyBorder="1" applyAlignment="1">
      <alignment wrapText="1"/>
    </xf>
    <xf numFmtId="0" fontId="7" fillId="2" borderId="18" xfId="0" applyFont="1" applyFill="1" applyBorder="1"/>
    <xf numFmtId="0" fontId="7" fillId="2" borderId="19" xfId="0" applyFont="1" applyFill="1" applyBorder="1" applyAlignment="1">
      <alignment horizontal="center"/>
    </xf>
    <xf numFmtId="4" fontId="7" fillId="2" borderId="19" xfId="0" applyNumberFormat="1" applyFont="1" applyFill="1" applyBorder="1"/>
    <xf numFmtId="165" fontId="7" fillId="2" borderId="19" xfId="0" applyNumberFormat="1" applyFont="1" applyFill="1" applyBorder="1"/>
    <xf numFmtId="165" fontId="7" fillId="2" borderId="20" xfId="0" applyNumberFormat="1" applyFont="1" applyFill="1" applyBorder="1"/>
    <xf numFmtId="165" fontId="20" fillId="3" borderId="38" xfId="0" applyNumberFormat="1" applyFont="1" applyFill="1" applyBorder="1" applyAlignment="1">
      <alignment horizontal="right" vertical="top" wrapText="1"/>
    </xf>
    <xf numFmtId="165" fontId="32" fillId="3" borderId="34" xfId="0" applyNumberFormat="1" applyFont="1" applyFill="1" applyBorder="1" applyAlignment="1">
      <alignment horizontal="right" vertical="top"/>
    </xf>
    <xf numFmtId="165" fontId="32" fillId="3" borderId="27" xfId="0" applyNumberFormat="1" applyFont="1" applyFill="1" applyBorder="1" applyAlignment="1">
      <alignment horizontal="right" vertical="top"/>
    </xf>
    <xf numFmtId="165" fontId="32" fillId="3" borderId="38" xfId="0" applyNumberFormat="1" applyFont="1" applyFill="1" applyBorder="1" applyAlignment="1">
      <alignment horizontal="right" vertical="top"/>
    </xf>
    <xf numFmtId="165" fontId="20" fillId="3" borderId="27" xfId="0" applyNumberFormat="1" applyFont="1" applyFill="1" applyBorder="1" applyAlignment="1">
      <alignment horizontal="right" vertical="top" wrapText="1"/>
    </xf>
    <xf numFmtId="165" fontId="19" fillId="6" borderId="34" xfId="0" applyNumberFormat="1" applyFont="1" applyFill="1" applyBorder="1" applyAlignment="1">
      <alignment horizontal="right" vertical="top" wrapText="1"/>
    </xf>
    <xf numFmtId="165" fontId="20" fillId="3" borderId="27" xfId="0" applyNumberFormat="1" applyFont="1" applyFill="1" applyBorder="1" applyAlignment="1">
      <alignment horizontal="right" vertical="top"/>
    </xf>
    <xf numFmtId="165" fontId="20" fillId="3" borderId="38" xfId="0" applyNumberFormat="1" applyFont="1" applyFill="1" applyBorder="1" applyAlignment="1">
      <alignment horizontal="right" vertical="top"/>
    </xf>
    <xf numFmtId="165" fontId="20" fillId="3" borderId="38" xfId="0" applyNumberFormat="1" applyFont="1" applyFill="1" applyBorder="1" applyAlignment="1">
      <alignment wrapText="1"/>
    </xf>
    <xf numFmtId="0" fontId="28" fillId="0" borderId="0" xfId="0" applyFont="1" applyAlignment="1">
      <alignment horizontal="left"/>
    </xf>
    <xf numFmtId="4" fontId="8" fillId="0" borderId="0" xfId="0" applyNumberFormat="1" applyFont="1" applyBorder="1" applyAlignment="1">
      <alignment horizontal="left" indent="1"/>
    </xf>
    <xf numFmtId="0" fontId="30" fillId="17" borderId="21" xfId="0" applyFont="1" applyFill="1" applyBorder="1" applyAlignment="1">
      <alignment horizontal="center" vertical="center"/>
    </xf>
    <xf numFmtId="0" fontId="30" fillId="17" borderId="22" xfId="0" applyFont="1" applyFill="1" applyBorder="1" applyAlignment="1">
      <alignment horizontal="center" vertical="center"/>
    </xf>
    <xf numFmtId="0" fontId="30" fillId="17" borderId="33" xfId="0" applyFont="1" applyFill="1" applyBorder="1" applyAlignment="1">
      <alignment horizontal="center" vertical="center"/>
    </xf>
    <xf numFmtId="0" fontId="30" fillId="17" borderId="14" xfId="0" applyFont="1" applyFill="1" applyBorder="1" applyAlignment="1">
      <alignment horizontal="center" vertical="center"/>
    </xf>
    <xf numFmtId="0" fontId="30" fillId="17" borderId="0" xfId="0" applyFont="1" applyFill="1" applyBorder="1" applyAlignment="1">
      <alignment horizontal="center" vertical="center"/>
    </xf>
    <xf numFmtId="0" fontId="30" fillId="17" borderId="35" xfId="0" applyFont="1" applyFill="1" applyBorder="1" applyAlignment="1">
      <alignment horizontal="center" vertical="center"/>
    </xf>
    <xf numFmtId="0" fontId="30" fillId="17" borderId="23" xfId="0" applyFont="1" applyFill="1" applyBorder="1" applyAlignment="1">
      <alignment horizontal="center" vertical="center"/>
    </xf>
    <xf numFmtId="0" fontId="30" fillId="17" borderId="24" xfId="0" applyFont="1" applyFill="1" applyBorder="1" applyAlignment="1">
      <alignment horizontal="center" vertical="center"/>
    </xf>
    <xf numFmtId="0" fontId="30" fillId="17" borderId="36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3" fontId="29" fillId="0" borderId="0" xfId="0" applyNumberFormat="1" applyFont="1" applyAlignment="1">
      <alignment horizontal="center"/>
    </xf>
    <xf numFmtId="0" fontId="12" fillId="0" borderId="0" xfId="0" applyNumberFormat="1" applyFont="1" applyBorder="1" applyAlignment="1">
      <alignment horizontal="center"/>
    </xf>
    <xf numFmtId="0" fontId="7" fillId="8" borderId="21" xfId="0" applyNumberFormat="1" applyFont="1" applyFill="1" applyBorder="1" applyAlignment="1">
      <alignment horizontal="center"/>
    </xf>
    <xf numFmtId="0" fontId="7" fillId="8" borderId="22" xfId="0" applyNumberFormat="1" applyFont="1" applyFill="1" applyBorder="1" applyAlignment="1">
      <alignment horizontal="center"/>
    </xf>
    <xf numFmtId="0" fontId="7" fillId="8" borderId="30" xfId="0" applyNumberFormat="1" applyFont="1" applyFill="1" applyBorder="1" applyAlignment="1">
      <alignment horizontal="center"/>
    </xf>
    <xf numFmtId="0" fontId="7" fillId="8" borderId="14" xfId="0" applyNumberFormat="1" applyFont="1" applyFill="1" applyBorder="1" applyAlignment="1">
      <alignment horizontal="center"/>
    </xf>
    <xf numFmtId="0" fontId="7" fillId="8" borderId="0" xfId="0" applyNumberFormat="1" applyFont="1" applyFill="1" applyBorder="1" applyAlignment="1">
      <alignment horizontal="center"/>
    </xf>
    <xf numFmtId="0" fontId="7" fillId="8" borderId="31" xfId="0" applyNumberFormat="1" applyFont="1" applyFill="1" applyBorder="1" applyAlignment="1">
      <alignment horizontal="center"/>
    </xf>
    <xf numFmtId="0" fontId="7" fillId="8" borderId="23" xfId="0" applyNumberFormat="1" applyFont="1" applyFill="1" applyBorder="1" applyAlignment="1">
      <alignment horizontal="center"/>
    </xf>
    <xf numFmtId="0" fontId="7" fillId="8" borderId="24" xfId="0" applyNumberFormat="1" applyFont="1" applyFill="1" applyBorder="1" applyAlignment="1">
      <alignment horizontal="center"/>
    </xf>
    <xf numFmtId="0" fontId="7" fillId="8" borderId="32" xfId="0" applyNumberFormat="1" applyFont="1" applyFill="1" applyBorder="1" applyAlignment="1">
      <alignment horizontal="center"/>
    </xf>
    <xf numFmtId="165" fontId="7" fillId="8" borderId="7" xfId="0" applyNumberFormat="1" applyFont="1" applyFill="1" applyBorder="1" applyAlignment="1">
      <alignment horizontal="center"/>
    </xf>
    <xf numFmtId="165" fontId="7" fillId="8" borderId="4" xfId="0" applyNumberFormat="1" applyFont="1" applyFill="1" applyBorder="1" applyAlignment="1">
      <alignment horizontal="center"/>
    </xf>
    <xf numFmtId="165" fontId="7" fillId="8" borderId="26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10" fillId="4" borderId="6" xfId="0" quotePrefix="1" applyNumberFormat="1" applyFont="1" applyFill="1" applyBorder="1" applyAlignment="1">
      <alignment horizontal="left" vertical="center" wrapText="1"/>
    </xf>
    <xf numFmtId="0" fontId="10" fillId="7" borderId="7" xfId="0" applyNumberFormat="1" applyFont="1" applyFill="1" applyBorder="1" applyAlignment="1">
      <alignment horizontal="center" vertical="center" wrapText="1"/>
    </xf>
    <xf numFmtId="4" fontId="17" fillId="13" borderId="7" xfId="0" applyNumberFormat="1" applyFont="1" applyFill="1" applyBorder="1" applyAlignment="1">
      <alignment horizontal="center" vertical="center" wrapText="1"/>
    </xf>
    <xf numFmtId="165" fontId="17" fillId="9" borderId="7" xfId="0" applyNumberFormat="1" applyFont="1" applyFill="1" applyBorder="1" applyAlignment="1">
      <alignment horizontal="right" vertical="center" wrapText="1"/>
    </xf>
    <xf numFmtId="4" fontId="17" fillId="9" borderId="7" xfId="0" applyNumberFormat="1" applyFont="1" applyFill="1" applyBorder="1" applyAlignment="1">
      <alignment horizontal="right" vertical="center" wrapText="1"/>
    </xf>
    <xf numFmtId="4" fontId="10" fillId="4" borderId="7" xfId="4" applyNumberFormat="1" applyFont="1" applyFill="1" applyBorder="1" applyAlignment="1">
      <alignment horizontal="right" vertical="center" wrapText="1"/>
    </xf>
    <xf numFmtId="4" fontId="17" fillId="9" borderId="7" xfId="4" applyNumberFormat="1" applyFont="1" applyFill="1" applyBorder="1" applyAlignment="1">
      <alignment horizontal="right" vertical="center" wrapText="1"/>
    </xf>
    <xf numFmtId="4" fontId="10" fillId="4" borderId="8" xfId="4" applyNumberFormat="1" applyFont="1" applyFill="1" applyBorder="1" applyAlignment="1">
      <alignment horizontal="right" vertical="center" wrapText="1"/>
    </xf>
    <xf numFmtId="0" fontId="7" fillId="2" borderId="26" xfId="0" applyNumberFormat="1" applyFont="1" applyFill="1" applyBorder="1" applyAlignment="1">
      <alignment horizontal="center"/>
    </xf>
    <xf numFmtId="4" fontId="7" fillId="10" borderId="26" xfId="0" applyNumberFormat="1" applyFont="1" applyFill="1" applyBorder="1" applyAlignment="1">
      <alignment horizontal="right"/>
    </xf>
    <xf numFmtId="0" fontId="7" fillId="6" borderId="28" xfId="0" applyNumberFormat="1" applyFont="1" applyFill="1" applyBorder="1" applyAlignment="1">
      <alignment horizontal="center"/>
    </xf>
    <xf numFmtId="0" fontId="7" fillId="6" borderId="3" xfId="0" applyNumberFormat="1" applyFont="1" applyFill="1" applyBorder="1" applyAlignment="1">
      <alignment horizontal="center" wrapText="1"/>
    </xf>
    <xf numFmtId="4" fontId="21" fillId="15" borderId="3" xfId="0" applyNumberFormat="1" applyFont="1" applyFill="1" applyBorder="1" applyAlignment="1">
      <alignment horizontal="center" vertical="center" wrapText="1"/>
    </xf>
    <xf numFmtId="165" fontId="19" fillId="15" borderId="3" xfId="7" applyNumberFormat="1" applyFont="1" applyFill="1" applyBorder="1"/>
    <xf numFmtId="165" fontId="19" fillId="15" borderId="3" xfId="7" applyNumberFormat="1" applyFont="1" applyFill="1" applyBorder="1" applyAlignment="1"/>
    <xf numFmtId="4" fontId="7" fillId="15" borderId="3" xfId="4" applyNumberFormat="1" applyFont="1" applyFill="1" applyBorder="1" applyAlignment="1">
      <alignment horizontal="right"/>
    </xf>
    <xf numFmtId="0" fontId="8" fillId="3" borderId="2" xfId="0" applyNumberFormat="1" applyFont="1" applyFill="1" applyBorder="1" applyAlignment="1">
      <alignment horizontal="center" wrapText="1"/>
    </xf>
    <xf numFmtId="0" fontId="10" fillId="4" borderId="25" xfId="0" applyNumberFormat="1" applyFont="1" applyFill="1" applyBorder="1" applyAlignment="1">
      <alignment horizontal="left"/>
    </xf>
    <xf numFmtId="3" fontId="11" fillId="7" borderId="2" xfId="0" applyNumberFormat="1" applyFont="1" applyFill="1" applyBorder="1" applyAlignment="1">
      <alignment horizontal="center"/>
    </xf>
    <xf numFmtId="4" fontId="17" fillId="13" borderId="2" xfId="0" applyNumberFormat="1" applyFont="1" applyFill="1" applyBorder="1" applyAlignment="1">
      <alignment horizontal="center" vertical="center" wrapText="1"/>
    </xf>
    <xf numFmtId="4" fontId="11" fillId="4" borderId="2" xfId="4" applyNumberFormat="1" applyFont="1" applyFill="1" applyBorder="1" applyAlignment="1">
      <alignment horizontal="right"/>
    </xf>
    <xf numFmtId="4" fontId="18" fillId="9" borderId="2" xfId="4" applyNumberFormat="1" applyFont="1" applyFill="1" applyBorder="1" applyAlignment="1">
      <alignment horizontal="right"/>
    </xf>
    <xf numFmtId="165" fontId="17" fillId="9" borderId="2" xfId="7" applyNumberFormat="1" applyFont="1" applyFill="1" applyBorder="1"/>
    <xf numFmtId="165" fontId="17" fillId="9" borderId="2" xfId="7" applyNumberFormat="1" applyFont="1" applyFill="1" applyBorder="1" applyAlignment="1"/>
    <xf numFmtId="4" fontId="11" fillId="4" borderId="27" xfId="4" applyNumberFormat="1" applyFont="1" applyFill="1" applyBorder="1" applyAlignment="1">
      <alignment horizontal="right"/>
    </xf>
    <xf numFmtId="3" fontId="8" fillId="3" borderId="3" xfId="0" applyNumberFormat="1" applyFont="1" applyFill="1" applyBorder="1" applyAlignment="1">
      <alignment horizontal="center"/>
    </xf>
    <xf numFmtId="4" fontId="22" fillId="14" borderId="3" xfId="0" applyNumberFormat="1" applyFont="1" applyFill="1" applyBorder="1" applyAlignment="1">
      <alignment horizontal="center" vertical="center" wrapText="1"/>
    </xf>
    <xf numFmtId="4" fontId="8" fillId="3" borderId="3" xfId="4" applyNumberFormat="1" applyFont="1" applyFill="1" applyBorder="1" applyAlignment="1">
      <alignment horizontal="right"/>
    </xf>
    <xf numFmtId="4" fontId="8" fillId="14" borderId="3" xfId="4" applyNumberFormat="1" applyFont="1" applyFill="1" applyBorder="1" applyAlignment="1">
      <alignment horizontal="right"/>
    </xf>
    <xf numFmtId="165" fontId="20" fillId="14" borderId="3" xfId="7" applyNumberFormat="1" applyFont="1" applyFill="1" applyBorder="1"/>
    <xf numFmtId="165" fontId="20" fillId="14" borderId="3" xfId="7" applyNumberFormat="1" applyFont="1" applyFill="1" applyBorder="1" applyAlignment="1"/>
    <xf numFmtId="4" fontId="8" fillId="3" borderId="34" xfId="4" applyNumberFormat="1" applyFont="1" applyFill="1" applyBorder="1" applyAlignment="1">
      <alignment horizontal="right"/>
    </xf>
    <xf numFmtId="3" fontId="7" fillId="2" borderId="19" xfId="0" applyNumberFormat="1" applyFont="1" applyFill="1" applyBorder="1" applyAlignment="1">
      <alignment horizontal="center"/>
    </xf>
    <xf numFmtId="165" fontId="20" fillId="10" borderId="19" xfId="7" applyNumberFormat="1" applyFont="1" applyFill="1" applyBorder="1" applyAlignment="1"/>
    <xf numFmtId="4" fontId="22" fillId="11" borderId="2" xfId="0" applyNumberFormat="1" applyFont="1" applyFill="1" applyBorder="1" applyAlignment="1">
      <alignment horizontal="center" vertical="center" wrapText="1"/>
    </xf>
    <xf numFmtId="0" fontId="7" fillId="2" borderId="19" xfId="0" applyNumberFormat="1" applyFont="1" applyFill="1" applyBorder="1" applyAlignment="1">
      <alignment horizontal="center" wrapText="1" shrinkToFit="1"/>
    </xf>
  </cellXfs>
  <cellStyles count="11">
    <cellStyle name="Comma 2" xfId="6" xr:uid="{00000000-0005-0000-0000-000001000000}"/>
    <cellStyle name="Normal 2" xfId="4" xr:uid="{00000000-0005-0000-0000-000003000000}"/>
    <cellStyle name="Normal 3" xfId="2" xr:uid="{00000000-0005-0000-0000-000004000000}"/>
    <cellStyle name="Normal 3 2" xfId="7" xr:uid="{00000000-0005-0000-0000-000005000000}"/>
    <cellStyle name="Normal 4" xfId="3" xr:uid="{00000000-0005-0000-0000-000006000000}"/>
    <cellStyle name="Normal_Sheet2" xfId="10" xr:uid="{2EC60044-C54A-4A9B-BCCB-545E4CD275D2}"/>
    <cellStyle name="Normalno" xfId="0" builtinId="0"/>
    <cellStyle name="Normalno 2" xfId="1" xr:uid="{00000000-0005-0000-0000-000007000000}"/>
    <cellStyle name="Normalno 2 2" xfId="5" xr:uid="{00000000-0005-0000-0000-000008000000}"/>
    <cellStyle name="Obično_List7" xfId="8" xr:uid="{B5A16547-4009-44F3-9F27-E21E22ACB917}"/>
    <cellStyle name="Zarez 2" xfId="9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01"/>
  <sheetViews>
    <sheetView topLeftCell="A14" zoomScale="75" zoomScaleNormal="75" workbookViewId="0">
      <selection activeCell="B195" sqref="B195"/>
    </sheetView>
  </sheetViews>
  <sheetFormatPr defaultColWidth="19.42578125" defaultRowHeight="18.75" x14ac:dyDescent="0.3"/>
  <cols>
    <col min="1" max="1" width="11.7109375" style="6" customWidth="1"/>
    <col min="2" max="2" width="39.85546875" style="7" customWidth="1"/>
    <col min="3" max="4" width="23.140625" style="2" customWidth="1"/>
    <col min="5" max="5" width="12.7109375" style="2" customWidth="1"/>
    <col min="6" max="6" width="23.140625" style="2" customWidth="1"/>
    <col min="7" max="7" width="12.28515625" style="2" customWidth="1"/>
    <col min="8" max="29" width="19.5703125" style="1" customWidth="1"/>
    <col min="30" max="30" width="19.5703125" style="10" customWidth="1"/>
    <col min="31" max="71" width="19.42578125" style="10"/>
    <col min="72" max="16384" width="19.42578125" style="1"/>
  </cols>
  <sheetData>
    <row r="1" spans="1:71" ht="18.75" customHeight="1" x14ac:dyDescent="0.3">
      <c r="A1" s="301" t="s">
        <v>204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3"/>
    </row>
    <row r="2" spans="1:71" ht="18.75" customHeight="1" x14ac:dyDescent="0.3">
      <c r="A2" s="304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6"/>
    </row>
    <row r="3" spans="1:71" ht="19.5" customHeight="1" thickBot="1" x14ac:dyDescent="0.35">
      <c r="A3" s="307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9"/>
    </row>
    <row r="4" spans="1:71" ht="30.75" customHeight="1" thickBot="1" x14ac:dyDescent="0.35">
      <c r="B4" s="2"/>
      <c r="X4" s="4"/>
      <c r="Y4" s="4"/>
      <c r="Z4" s="4"/>
      <c r="AA4" s="4"/>
      <c r="AB4" s="4"/>
      <c r="AC4" s="4"/>
    </row>
    <row r="5" spans="1:71" ht="134.25" customHeight="1" thickBot="1" x14ac:dyDescent="0.35">
      <c r="A5" s="97" t="s">
        <v>9</v>
      </c>
      <c r="B5" s="98" t="s">
        <v>0</v>
      </c>
      <c r="C5" s="99" t="s">
        <v>214</v>
      </c>
      <c r="D5" s="157" t="s">
        <v>211</v>
      </c>
      <c r="E5" s="99" t="s">
        <v>212</v>
      </c>
      <c r="F5" s="99" t="s">
        <v>210</v>
      </c>
      <c r="G5" s="99" t="s">
        <v>213</v>
      </c>
      <c r="H5" s="100" t="s">
        <v>191</v>
      </c>
      <c r="I5" s="157" t="s">
        <v>205</v>
      </c>
      <c r="J5" s="100" t="s">
        <v>192</v>
      </c>
      <c r="K5" s="157" t="s">
        <v>205</v>
      </c>
      <c r="L5" s="100" t="s">
        <v>193</v>
      </c>
      <c r="M5" s="157" t="s">
        <v>205</v>
      </c>
      <c r="N5" s="100" t="s">
        <v>194</v>
      </c>
      <c r="O5" s="157" t="s">
        <v>205</v>
      </c>
      <c r="P5" s="100" t="s">
        <v>7</v>
      </c>
      <c r="Q5" s="100" t="s">
        <v>201</v>
      </c>
      <c r="R5" s="157" t="s">
        <v>205</v>
      </c>
      <c r="S5" s="100" t="s">
        <v>195</v>
      </c>
      <c r="T5" s="157" t="s">
        <v>205</v>
      </c>
      <c r="U5" s="100" t="s">
        <v>196</v>
      </c>
      <c r="V5" s="157" t="s">
        <v>205</v>
      </c>
      <c r="W5" s="100" t="s">
        <v>197</v>
      </c>
      <c r="X5" s="100" t="s">
        <v>198</v>
      </c>
      <c r="Y5" s="157" t="s">
        <v>205</v>
      </c>
      <c r="Z5" s="100" t="s">
        <v>16</v>
      </c>
      <c r="AA5" s="100" t="s">
        <v>199</v>
      </c>
      <c r="AB5" s="157" t="s">
        <v>205</v>
      </c>
      <c r="AC5" s="100" t="s">
        <v>200</v>
      </c>
      <c r="AD5" s="158" t="s">
        <v>205</v>
      </c>
    </row>
    <row r="6" spans="1:71" ht="19.5" customHeight="1" thickBot="1" x14ac:dyDescent="0.35">
      <c r="A6" s="326">
        <v>3</v>
      </c>
      <c r="B6" s="327"/>
      <c r="C6" s="328">
        <v>1766262.92</v>
      </c>
      <c r="D6" s="328">
        <v>678603.29000000015</v>
      </c>
      <c r="E6" s="328">
        <f>D6/C6*100</f>
        <v>38.4202873941327</v>
      </c>
      <c r="F6" s="328">
        <f>4750588.57/7.5345</f>
        <v>630511.4566328224</v>
      </c>
      <c r="G6" s="328">
        <f t="shared" ref="G6:G30" si="0">D6/F6*100</f>
        <v>107.62743212058461</v>
      </c>
      <c r="H6" s="329">
        <v>90000</v>
      </c>
      <c r="I6" s="329">
        <f>I23</f>
        <v>58306.340000000004</v>
      </c>
      <c r="J6" s="330">
        <v>124390</v>
      </c>
      <c r="K6" s="330">
        <f>K7+K23</f>
        <v>51437.65</v>
      </c>
      <c r="L6" s="331">
        <v>2000</v>
      </c>
      <c r="M6" s="331">
        <v>0</v>
      </c>
      <c r="N6" s="332">
        <v>117604.92</v>
      </c>
      <c r="O6" s="332">
        <f>O23+O138</f>
        <v>39846.07</v>
      </c>
      <c r="P6" s="331">
        <v>0</v>
      </c>
      <c r="Q6" s="330">
        <v>1422860</v>
      </c>
      <c r="R6" s="330">
        <f>R7+R23+R148+R153</f>
        <v>524822.56000000006</v>
      </c>
      <c r="S6" s="330">
        <v>1348</v>
      </c>
      <c r="T6" s="330">
        <f>T7+T23</f>
        <v>611.24</v>
      </c>
      <c r="U6" s="331">
        <f>U23</f>
        <v>20</v>
      </c>
      <c r="V6" s="331">
        <f>V23</f>
        <v>5.51</v>
      </c>
      <c r="W6" s="331">
        <v>0</v>
      </c>
      <c r="X6" s="331">
        <v>0</v>
      </c>
      <c r="Y6" s="331">
        <v>0</v>
      </c>
      <c r="Z6" s="331">
        <v>0</v>
      </c>
      <c r="AA6" s="330">
        <v>7642</v>
      </c>
      <c r="AB6" s="330">
        <f>AB7+AB23</f>
        <v>3463.77</v>
      </c>
      <c r="AC6" s="333">
        <f>AC23</f>
        <v>398</v>
      </c>
      <c r="AD6" s="333">
        <f>AD23</f>
        <v>110.15</v>
      </c>
    </row>
    <row r="7" spans="1:71" ht="19.5" thickBot="1" x14ac:dyDescent="0.35">
      <c r="A7" s="43">
        <v>31</v>
      </c>
      <c r="B7" s="44" t="s">
        <v>6</v>
      </c>
      <c r="C7" s="76">
        <v>1414720</v>
      </c>
      <c r="D7" s="76">
        <v>521590.7300000001</v>
      </c>
      <c r="E7" s="76">
        <f>D7/C7*100</f>
        <v>36.868831288170107</v>
      </c>
      <c r="F7" s="76">
        <f>3387083.08/7.5345</f>
        <v>449543.17871126154</v>
      </c>
      <c r="G7" s="76">
        <f t="shared" si="0"/>
        <v>116.02683673129744</v>
      </c>
      <c r="H7" s="63">
        <v>0</v>
      </c>
      <c r="I7" s="63">
        <v>0</v>
      </c>
      <c r="J7" s="63">
        <v>1081</v>
      </c>
      <c r="K7" s="63">
        <f>K8+K13+K19</f>
        <v>438.78000000000003</v>
      </c>
      <c r="L7" s="45">
        <v>2000</v>
      </c>
      <c r="M7" s="45">
        <v>0</v>
      </c>
      <c r="N7" s="71">
        <v>0</v>
      </c>
      <c r="O7" s="71">
        <v>0</v>
      </c>
      <c r="P7" s="45">
        <v>0</v>
      </c>
      <c r="Q7" s="63">
        <v>1403000</v>
      </c>
      <c r="R7" s="63">
        <f>R8+R13+R19</f>
        <v>517203.00000000006</v>
      </c>
      <c r="S7" s="63">
        <v>1296</v>
      </c>
      <c r="T7" s="63">
        <f>T8+T13+T19</f>
        <v>592.33000000000004</v>
      </c>
      <c r="U7" s="45">
        <v>0</v>
      </c>
      <c r="V7" s="45">
        <v>0</v>
      </c>
      <c r="W7" s="45">
        <v>0</v>
      </c>
      <c r="X7" s="45">
        <v>0</v>
      </c>
      <c r="Y7" s="45">
        <v>0</v>
      </c>
      <c r="Z7" s="45">
        <v>0</v>
      </c>
      <c r="AA7" s="63">
        <v>7343</v>
      </c>
      <c r="AB7" s="63">
        <f>AB8+AB13+AB19</f>
        <v>3356.62</v>
      </c>
      <c r="AC7" s="45">
        <v>0</v>
      </c>
      <c r="AD7" s="159">
        <v>0</v>
      </c>
    </row>
    <row r="8" spans="1:71" s="11" customFormat="1" ht="19.5" thickBot="1" x14ac:dyDescent="0.35">
      <c r="A8" s="189">
        <v>311</v>
      </c>
      <c r="B8" s="334" t="s">
        <v>12</v>
      </c>
      <c r="C8" s="188">
        <v>1162300</v>
      </c>
      <c r="D8" s="188">
        <v>436895.5500000001</v>
      </c>
      <c r="E8" s="188">
        <f>D8/C8*100</f>
        <v>37.58887980727868</v>
      </c>
      <c r="F8" s="188">
        <f>2852703.42/7.5345</f>
        <v>378618.80947640847</v>
      </c>
      <c r="G8" s="188">
        <f t="shared" si="0"/>
        <v>115.3919295779791</v>
      </c>
      <c r="H8" s="335">
        <v>0</v>
      </c>
      <c r="I8" s="335">
        <v>0</v>
      </c>
      <c r="J8" s="335">
        <v>820</v>
      </c>
      <c r="K8" s="335">
        <f>K9</f>
        <v>362.38</v>
      </c>
      <c r="L8" s="190">
        <v>0</v>
      </c>
      <c r="M8" s="190">
        <v>0</v>
      </c>
      <c r="N8" s="191">
        <v>0</v>
      </c>
      <c r="O8" s="191">
        <v>0</v>
      </c>
      <c r="P8" s="190">
        <v>0</v>
      </c>
      <c r="Q8" s="335">
        <v>1155000</v>
      </c>
      <c r="R8" s="335">
        <f>R9+R11+R12</f>
        <v>433271.76000000007</v>
      </c>
      <c r="S8" s="335">
        <v>973</v>
      </c>
      <c r="T8" s="335">
        <f>T9</f>
        <v>489.2</v>
      </c>
      <c r="U8" s="190">
        <v>0</v>
      </c>
      <c r="V8" s="190">
        <v>0</v>
      </c>
      <c r="W8" s="190">
        <v>0</v>
      </c>
      <c r="X8" s="190">
        <v>0</v>
      </c>
      <c r="Y8" s="190">
        <v>0</v>
      </c>
      <c r="Z8" s="190">
        <v>0</v>
      </c>
      <c r="AA8" s="335">
        <v>5507</v>
      </c>
      <c r="AB8" s="335">
        <f>AB9</f>
        <v>2772.21</v>
      </c>
      <c r="AC8" s="190">
        <v>0</v>
      </c>
      <c r="AD8" s="192">
        <v>0</v>
      </c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</row>
    <row r="9" spans="1:71" x14ac:dyDescent="0.3">
      <c r="A9" s="51">
        <v>31111</v>
      </c>
      <c r="B9" s="13" t="s">
        <v>21</v>
      </c>
      <c r="C9" s="101">
        <v>1107300</v>
      </c>
      <c r="D9" s="101">
        <v>411403.13000000006</v>
      </c>
      <c r="E9" s="101">
        <f>D9/C9*100</f>
        <v>37.153718956019148</v>
      </c>
      <c r="F9" s="101">
        <f>2620327.1/7.5345</f>
        <v>347777.17167695268</v>
      </c>
      <c r="G9" s="101">
        <f t="shared" si="0"/>
        <v>118.29503587491044</v>
      </c>
      <c r="H9" s="102">
        <v>0</v>
      </c>
      <c r="I9" s="102">
        <v>0</v>
      </c>
      <c r="J9" s="102">
        <v>820</v>
      </c>
      <c r="K9" s="102">
        <v>362.38</v>
      </c>
      <c r="L9" s="103">
        <v>0</v>
      </c>
      <c r="M9" s="103">
        <v>0</v>
      </c>
      <c r="N9" s="103">
        <v>0</v>
      </c>
      <c r="O9" s="103">
        <v>0</v>
      </c>
      <c r="P9" s="103">
        <v>0</v>
      </c>
      <c r="Q9" s="102">
        <v>1100000</v>
      </c>
      <c r="R9" s="102">
        <v>407779.34</v>
      </c>
      <c r="S9" s="102">
        <v>973</v>
      </c>
      <c r="T9" s="102">
        <v>489.2</v>
      </c>
      <c r="U9" s="103">
        <v>0</v>
      </c>
      <c r="V9" s="103">
        <v>0</v>
      </c>
      <c r="W9" s="103">
        <v>0</v>
      </c>
      <c r="X9" s="103">
        <v>0</v>
      </c>
      <c r="Y9" s="103">
        <v>0</v>
      </c>
      <c r="Z9" s="103">
        <v>0</v>
      </c>
      <c r="AA9" s="102">
        <v>5507</v>
      </c>
      <c r="AB9" s="102">
        <v>2772.21</v>
      </c>
      <c r="AC9" s="103">
        <v>0</v>
      </c>
      <c r="AD9" s="160">
        <v>0</v>
      </c>
    </row>
    <row r="10" spans="1:71" x14ac:dyDescent="0.3">
      <c r="A10" s="54">
        <v>31113</v>
      </c>
      <c r="B10" s="18" t="s">
        <v>146</v>
      </c>
      <c r="C10" s="79">
        <v>0</v>
      </c>
      <c r="D10" s="79">
        <v>0</v>
      </c>
      <c r="E10" s="79">
        <v>0</v>
      </c>
      <c r="F10" s="79">
        <f>23612.32/7.5345</f>
        <v>3133.8934235848428</v>
      </c>
      <c r="G10" s="79">
        <f t="shared" si="0"/>
        <v>0</v>
      </c>
      <c r="H10" s="34">
        <v>0</v>
      </c>
      <c r="I10" s="34">
        <v>0</v>
      </c>
      <c r="J10" s="34">
        <v>0</v>
      </c>
      <c r="K10" s="34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34">
        <v>0</v>
      </c>
      <c r="R10" s="34">
        <v>0</v>
      </c>
      <c r="S10" s="34">
        <v>0</v>
      </c>
      <c r="T10" s="34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34">
        <v>0</v>
      </c>
      <c r="AB10" s="34">
        <v>0</v>
      </c>
      <c r="AC10" s="41">
        <v>0</v>
      </c>
      <c r="AD10" s="161">
        <v>0</v>
      </c>
    </row>
    <row r="11" spans="1:71" x14ac:dyDescent="0.3">
      <c r="A11" s="54">
        <v>31131</v>
      </c>
      <c r="B11" s="18" t="s">
        <v>147</v>
      </c>
      <c r="C11" s="79">
        <v>40000</v>
      </c>
      <c r="D11" s="79">
        <v>17207.97</v>
      </c>
      <c r="E11" s="79">
        <f t="shared" ref="E11:E20" si="1">D11/C11*100</f>
        <v>43.019925000000001</v>
      </c>
      <c r="F11" s="79">
        <f>149362.9/7.5345</f>
        <v>19823.863560952948</v>
      </c>
      <c r="G11" s="79">
        <f t="shared" si="0"/>
        <v>86.804320192631508</v>
      </c>
      <c r="H11" s="34">
        <v>0</v>
      </c>
      <c r="I11" s="34">
        <v>0</v>
      </c>
      <c r="J11" s="34">
        <v>0</v>
      </c>
      <c r="K11" s="34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34">
        <v>40000</v>
      </c>
      <c r="R11" s="34">
        <v>17207.97</v>
      </c>
      <c r="S11" s="34">
        <v>0</v>
      </c>
      <c r="T11" s="34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34">
        <v>0</v>
      </c>
      <c r="AB11" s="34">
        <v>0</v>
      </c>
      <c r="AC11" s="41">
        <v>0</v>
      </c>
      <c r="AD11" s="161">
        <v>0</v>
      </c>
    </row>
    <row r="12" spans="1:71" ht="19.5" thickBot="1" x14ac:dyDescent="0.35">
      <c r="A12" s="52">
        <v>31141</v>
      </c>
      <c r="B12" s="14" t="s">
        <v>148</v>
      </c>
      <c r="C12" s="77">
        <v>15000</v>
      </c>
      <c r="D12" s="77">
        <v>8284.4500000000007</v>
      </c>
      <c r="E12" s="77">
        <f t="shared" si="1"/>
        <v>55.229666666666674</v>
      </c>
      <c r="F12" s="77">
        <f>59401.1/7.5345</f>
        <v>7883.8808149180431</v>
      </c>
      <c r="G12" s="77">
        <f t="shared" si="0"/>
        <v>105.08086302273864</v>
      </c>
      <c r="H12" s="35">
        <v>0</v>
      </c>
      <c r="I12" s="35">
        <v>0</v>
      </c>
      <c r="J12" s="35">
        <v>0</v>
      </c>
      <c r="K12" s="35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35">
        <v>15000</v>
      </c>
      <c r="R12" s="35">
        <v>8284.4500000000007</v>
      </c>
      <c r="S12" s="35">
        <v>0</v>
      </c>
      <c r="T12" s="35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35">
        <v>0</v>
      </c>
      <c r="AB12" s="35">
        <v>0</v>
      </c>
      <c r="AC12" s="42">
        <v>0</v>
      </c>
      <c r="AD12" s="162">
        <v>0</v>
      </c>
    </row>
    <row r="13" spans="1:71" s="11" customFormat="1" ht="19.5" thickBot="1" x14ac:dyDescent="0.35">
      <c r="A13" s="43">
        <v>312</v>
      </c>
      <c r="B13" s="44" t="s">
        <v>10</v>
      </c>
      <c r="C13" s="89">
        <v>71190</v>
      </c>
      <c r="D13" s="89">
        <v>12607.44</v>
      </c>
      <c r="E13" s="89">
        <f t="shared" si="1"/>
        <v>17.709565950273916</v>
      </c>
      <c r="F13" s="89">
        <f>63042.31/7.5345</f>
        <v>8367.1524321454635</v>
      </c>
      <c r="G13" s="89">
        <f t="shared" si="0"/>
        <v>150.67778556972294</v>
      </c>
      <c r="H13" s="63">
        <v>0</v>
      </c>
      <c r="I13" s="63">
        <v>0</v>
      </c>
      <c r="J13" s="63">
        <v>120</v>
      </c>
      <c r="K13" s="63">
        <f>K17</f>
        <v>16.600000000000001</v>
      </c>
      <c r="L13" s="45">
        <v>2000</v>
      </c>
      <c r="M13" s="45">
        <v>0</v>
      </c>
      <c r="N13" s="71">
        <v>0</v>
      </c>
      <c r="O13" s="71">
        <v>0</v>
      </c>
      <c r="P13" s="45">
        <v>0</v>
      </c>
      <c r="Q13" s="63">
        <v>68000</v>
      </c>
      <c r="R13" s="63">
        <f>R17+R18</f>
        <v>12441.44</v>
      </c>
      <c r="S13" s="63">
        <v>160</v>
      </c>
      <c r="T13" s="63">
        <f>T17</f>
        <v>22.41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63">
        <v>910</v>
      </c>
      <c r="AB13" s="63">
        <f>AB17</f>
        <v>126.99</v>
      </c>
      <c r="AC13" s="45">
        <v>0</v>
      </c>
      <c r="AD13" s="159">
        <v>0</v>
      </c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</row>
    <row r="14" spans="1:71" x14ac:dyDescent="0.3">
      <c r="A14" s="51">
        <v>31212</v>
      </c>
      <c r="B14" s="13" t="s">
        <v>158</v>
      </c>
      <c r="C14" s="101">
        <v>11335</v>
      </c>
      <c r="D14" s="101">
        <v>0</v>
      </c>
      <c r="E14" s="101">
        <f t="shared" si="1"/>
        <v>0</v>
      </c>
      <c r="F14" s="101">
        <f>2884.61/7.5345</f>
        <v>382.85354038091447</v>
      </c>
      <c r="G14" s="101">
        <f t="shared" si="0"/>
        <v>0</v>
      </c>
      <c r="H14" s="102">
        <v>0</v>
      </c>
      <c r="I14" s="102">
        <v>0</v>
      </c>
      <c r="J14" s="102">
        <v>34</v>
      </c>
      <c r="K14" s="102">
        <v>0</v>
      </c>
      <c r="L14" s="103">
        <v>2000</v>
      </c>
      <c r="M14" s="103">
        <v>0</v>
      </c>
      <c r="N14" s="103">
        <v>0</v>
      </c>
      <c r="O14" s="103">
        <v>0</v>
      </c>
      <c r="P14" s="103">
        <v>0</v>
      </c>
      <c r="Q14" s="102">
        <v>9000</v>
      </c>
      <c r="R14" s="102">
        <v>0</v>
      </c>
      <c r="S14" s="102">
        <v>45</v>
      </c>
      <c r="T14" s="102">
        <v>0</v>
      </c>
      <c r="U14" s="103">
        <v>0</v>
      </c>
      <c r="V14" s="103">
        <v>0</v>
      </c>
      <c r="W14" s="103">
        <v>0</v>
      </c>
      <c r="X14" s="103">
        <v>0</v>
      </c>
      <c r="Y14" s="103">
        <v>0</v>
      </c>
      <c r="Z14" s="103">
        <v>0</v>
      </c>
      <c r="AA14" s="102">
        <v>256</v>
      </c>
      <c r="AB14" s="102">
        <v>0</v>
      </c>
      <c r="AC14" s="103">
        <v>0</v>
      </c>
      <c r="AD14" s="160">
        <v>0</v>
      </c>
    </row>
    <row r="15" spans="1:71" x14ac:dyDescent="0.3">
      <c r="A15" s="54">
        <v>31213</v>
      </c>
      <c r="B15" s="18" t="s">
        <v>162</v>
      </c>
      <c r="C15" s="79">
        <v>33000</v>
      </c>
      <c r="D15" s="79">
        <v>0</v>
      </c>
      <c r="E15" s="79">
        <f t="shared" si="1"/>
        <v>0</v>
      </c>
      <c r="F15" s="79">
        <v>0</v>
      </c>
      <c r="G15" s="79">
        <v>0</v>
      </c>
      <c r="H15" s="34">
        <v>0</v>
      </c>
      <c r="I15" s="34">
        <v>0</v>
      </c>
      <c r="J15" s="34">
        <v>0</v>
      </c>
      <c r="K15" s="34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34">
        <v>33000</v>
      </c>
      <c r="R15" s="34">
        <v>0</v>
      </c>
      <c r="S15" s="34">
        <v>0</v>
      </c>
      <c r="T15" s="34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  <c r="AA15" s="34">
        <v>0</v>
      </c>
      <c r="AB15" s="34">
        <v>0</v>
      </c>
      <c r="AC15" s="41">
        <v>0</v>
      </c>
      <c r="AD15" s="161">
        <v>0</v>
      </c>
    </row>
    <row r="16" spans="1:71" x14ac:dyDescent="0.3">
      <c r="A16" s="54">
        <v>31215</v>
      </c>
      <c r="B16" s="18" t="s">
        <v>161</v>
      </c>
      <c r="C16" s="79">
        <v>2000</v>
      </c>
      <c r="D16" s="79">
        <v>0</v>
      </c>
      <c r="E16" s="79">
        <f t="shared" si="1"/>
        <v>0</v>
      </c>
      <c r="F16" s="79">
        <v>0</v>
      </c>
      <c r="G16" s="79">
        <v>0</v>
      </c>
      <c r="H16" s="34">
        <v>0</v>
      </c>
      <c r="I16" s="34">
        <v>0</v>
      </c>
      <c r="J16" s="34">
        <v>0</v>
      </c>
      <c r="K16" s="34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34">
        <v>2000</v>
      </c>
      <c r="R16" s="34">
        <v>0</v>
      </c>
      <c r="S16" s="34">
        <v>0</v>
      </c>
      <c r="T16" s="34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34">
        <v>0</v>
      </c>
      <c r="AB16" s="34">
        <v>0</v>
      </c>
      <c r="AC16" s="41">
        <v>0</v>
      </c>
      <c r="AD16" s="161">
        <v>0</v>
      </c>
    </row>
    <row r="17" spans="1:71" x14ac:dyDescent="0.3">
      <c r="A17" s="54">
        <v>31216</v>
      </c>
      <c r="B17" s="18" t="s">
        <v>160</v>
      </c>
      <c r="C17" s="79">
        <v>20335</v>
      </c>
      <c r="D17" s="79">
        <v>12166</v>
      </c>
      <c r="E17" s="79">
        <f t="shared" si="1"/>
        <v>59.827882960413078</v>
      </c>
      <c r="F17" s="79">
        <f>59750/7.5345</f>
        <v>7930.1878027739067</v>
      </c>
      <c r="G17" s="79">
        <f t="shared" si="0"/>
        <v>153.41376903765692</v>
      </c>
      <c r="H17" s="34">
        <v>0</v>
      </c>
      <c r="I17" s="34">
        <v>0</v>
      </c>
      <c r="J17" s="34">
        <v>34</v>
      </c>
      <c r="K17" s="34">
        <v>16.600000000000001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34">
        <v>20000</v>
      </c>
      <c r="R17" s="34">
        <v>12000</v>
      </c>
      <c r="S17" s="34">
        <v>45</v>
      </c>
      <c r="T17" s="34">
        <v>22.41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34">
        <v>256</v>
      </c>
      <c r="AB17" s="34">
        <v>126.99</v>
      </c>
      <c r="AC17" s="41">
        <v>0</v>
      </c>
      <c r="AD17" s="161">
        <v>0</v>
      </c>
    </row>
    <row r="18" spans="1:71" ht="19.5" thickBot="1" x14ac:dyDescent="0.35">
      <c r="A18" s="52">
        <v>31219</v>
      </c>
      <c r="B18" s="14" t="s">
        <v>159</v>
      </c>
      <c r="C18" s="77">
        <v>4520</v>
      </c>
      <c r="D18" s="77">
        <v>441.44</v>
      </c>
      <c r="E18" s="77">
        <f t="shared" si="1"/>
        <v>9.7663716814159294</v>
      </c>
      <c r="F18" s="77">
        <f>407.7/7.5345</f>
        <v>54.11108899064304</v>
      </c>
      <c r="G18" s="77">
        <f t="shared" si="0"/>
        <v>815.8032082413539</v>
      </c>
      <c r="H18" s="35">
        <v>0</v>
      </c>
      <c r="I18" s="35">
        <v>0</v>
      </c>
      <c r="J18" s="35">
        <v>52</v>
      </c>
      <c r="K18" s="35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35">
        <v>4000</v>
      </c>
      <c r="R18" s="35">
        <v>441.44</v>
      </c>
      <c r="S18" s="35">
        <v>70</v>
      </c>
      <c r="T18" s="35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35">
        <v>398</v>
      </c>
      <c r="AB18" s="35">
        <v>0</v>
      </c>
      <c r="AC18" s="42">
        <v>0</v>
      </c>
      <c r="AD18" s="162">
        <v>0</v>
      </c>
    </row>
    <row r="19" spans="1:71" s="11" customFormat="1" ht="19.5" thickBot="1" x14ac:dyDescent="0.35">
      <c r="A19" s="43">
        <v>313</v>
      </c>
      <c r="B19" s="44" t="s">
        <v>18</v>
      </c>
      <c r="C19" s="89">
        <v>181230</v>
      </c>
      <c r="D19" s="89">
        <v>72087.740000000005</v>
      </c>
      <c r="E19" s="89">
        <f t="shared" si="1"/>
        <v>39.77693538597363</v>
      </c>
      <c r="F19" s="89">
        <f>471337.35/7.5345</f>
        <v>62557.216802707539</v>
      </c>
      <c r="G19" s="89">
        <f t="shared" si="0"/>
        <v>115.23489004849714</v>
      </c>
      <c r="H19" s="63">
        <v>0</v>
      </c>
      <c r="I19" s="63">
        <v>0</v>
      </c>
      <c r="J19" s="63">
        <v>141</v>
      </c>
      <c r="K19" s="63">
        <f>K20</f>
        <v>59.8</v>
      </c>
      <c r="L19" s="105">
        <v>0</v>
      </c>
      <c r="M19" s="105">
        <v>0</v>
      </c>
      <c r="N19" s="71">
        <v>0</v>
      </c>
      <c r="O19" s="71">
        <v>0</v>
      </c>
      <c r="P19" s="105">
        <v>0</v>
      </c>
      <c r="Q19" s="63">
        <v>180000</v>
      </c>
      <c r="R19" s="63">
        <f>R20</f>
        <v>71489.8</v>
      </c>
      <c r="S19" s="63">
        <v>163</v>
      </c>
      <c r="T19" s="63">
        <f>T20</f>
        <v>80.72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63">
        <v>926</v>
      </c>
      <c r="AB19" s="63">
        <f>AB20</f>
        <v>457.42</v>
      </c>
      <c r="AC19" s="105">
        <v>0</v>
      </c>
      <c r="AD19" s="163">
        <v>0</v>
      </c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</row>
    <row r="20" spans="1:71" s="10" customFormat="1" x14ac:dyDescent="0.3">
      <c r="A20" s="104">
        <v>31321</v>
      </c>
      <c r="B20" s="13" t="s">
        <v>22</v>
      </c>
      <c r="C20" s="101">
        <v>181230</v>
      </c>
      <c r="D20" s="101">
        <v>72087.740000000005</v>
      </c>
      <c r="E20" s="101">
        <f t="shared" si="1"/>
        <v>39.77693538597363</v>
      </c>
      <c r="F20" s="101">
        <f>470817.92/7.5345</f>
        <v>62488.276594332732</v>
      </c>
      <c r="G20" s="101">
        <f t="shared" si="0"/>
        <v>115.3620229727025</v>
      </c>
      <c r="H20" s="102">
        <v>0</v>
      </c>
      <c r="I20" s="102">
        <v>0</v>
      </c>
      <c r="J20" s="102">
        <v>141</v>
      </c>
      <c r="K20" s="102">
        <v>59.8</v>
      </c>
      <c r="L20" s="102">
        <v>0</v>
      </c>
      <c r="M20" s="102">
        <v>0</v>
      </c>
      <c r="N20" s="103">
        <v>0</v>
      </c>
      <c r="O20" s="103">
        <v>0</v>
      </c>
      <c r="P20" s="102">
        <v>0</v>
      </c>
      <c r="Q20" s="102">
        <v>180000</v>
      </c>
      <c r="R20" s="102">
        <v>71489.8</v>
      </c>
      <c r="S20" s="102">
        <v>163</v>
      </c>
      <c r="T20" s="102">
        <v>80.72</v>
      </c>
      <c r="U20" s="102">
        <v>0</v>
      </c>
      <c r="V20" s="102">
        <v>0</v>
      </c>
      <c r="W20" s="102">
        <v>0</v>
      </c>
      <c r="X20" s="102">
        <v>0</v>
      </c>
      <c r="Y20" s="102">
        <v>0</v>
      </c>
      <c r="Z20" s="102">
        <v>0</v>
      </c>
      <c r="AA20" s="102">
        <v>926</v>
      </c>
      <c r="AB20" s="102">
        <v>457.42</v>
      </c>
      <c r="AC20" s="102">
        <v>0</v>
      </c>
      <c r="AD20" s="164">
        <v>0</v>
      </c>
    </row>
    <row r="21" spans="1:71" s="10" customFormat="1" x14ac:dyDescent="0.3">
      <c r="A21" s="55">
        <v>31322</v>
      </c>
      <c r="B21" s="20" t="s">
        <v>149</v>
      </c>
      <c r="C21" s="79">
        <v>0</v>
      </c>
      <c r="D21" s="79">
        <v>0</v>
      </c>
      <c r="E21" s="79">
        <v>0</v>
      </c>
      <c r="F21" s="79">
        <f>118.06/7.5345</f>
        <v>15.669254761430752</v>
      </c>
      <c r="G21" s="79">
        <f t="shared" si="0"/>
        <v>0</v>
      </c>
      <c r="H21" s="81">
        <v>0</v>
      </c>
      <c r="I21" s="81">
        <v>0</v>
      </c>
      <c r="J21" s="81">
        <v>0</v>
      </c>
      <c r="K21" s="81">
        <v>0</v>
      </c>
      <c r="L21" s="96">
        <v>0</v>
      </c>
      <c r="M21" s="96">
        <v>0</v>
      </c>
      <c r="N21" s="69">
        <v>0</v>
      </c>
      <c r="O21" s="69">
        <v>0</v>
      </c>
      <c r="P21" s="96">
        <v>0</v>
      </c>
      <c r="Q21" s="81">
        <v>0</v>
      </c>
      <c r="R21" s="81">
        <v>0</v>
      </c>
      <c r="S21" s="81">
        <v>0</v>
      </c>
      <c r="T21" s="81">
        <v>0</v>
      </c>
      <c r="U21" s="96">
        <v>0</v>
      </c>
      <c r="V21" s="96">
        <v>0</v>
      </c>
      <c r="W21" s="96">
        <v>0</v>
      </c>
      <c r="X21" s="96">
        <v>0</v>
      </c>
      <c r="Y21" s="96">
        <v>0</v>
      </c>
      <c r="Z21" s="96">
        <v>0</v>
      </c>
      <c r="AA21" s="81">
        <v>0</v>
      </c>
      <c r="AB21" s="81">
        <v>0</v>
      </c>
      <c r="AC21" s="96">
        <v>0</v>
      </c>
      <c r="AD21" s="165">
        <v>0</v>
      </c>
    </row>
    <row r="22" spans="1:71" ht="19.5" thickBot="1" x14ac:dyDescent="0.35">
      <c r="A22" s="52">
        <v>31332</v>
      </c>
      <c r="B22" s="14" t="s">
        <v>150</v>
      </c>
      <c r="C22" s="77">
        <v>0</v>
      </c>
      <c r="D22" s="77">
        <v>0</v>
      </c>
      <c r="E22" s="77">
        <v>0</v>
      </c>
      <c r="F22" s="77">
        <f>401.37/7.5345</f>
        <v>53.27095361337846</v>
      </c>
      <c r="G22" s="77">
        <f t="shared" si="0"/>
        <v>0</v>
      </c>
      <c r="H22" s="64">
        <v>0</v>
      </c>
      <c r="I22" s="64">
        <v>0</v>
      </c>
      <c r="J22" s="64">
        <v>0</v>
      </c>
      <c r="K22" s="64">
        <v>0</v>
      </c>
      <c r="L22" s="62">
        <v>0</v>
      </c>
      <c r="M22" s="62">
        <v>0</v>
      </c>
      <c r="N22" s="67">
        <v>0</v>
      </c>
      <c r="O22" s="67">
        <v>0</v>
      </c>
      <c r="P22" s="62">
        <v>0</v>
      </c>
      <c r="Q22" s="64">
        <v>0</v>
      </c>
      <c r="R22" s="64">
        <v>0</v>
      </c>
      <c r="S22" s="64">
        <v>0</v>
      </c>
      <c r="T22" s="64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4">
        <v>0</v>
      </c>
      <c r="AB22" s="64">
        <v>0</v>
      </c>
      <c r="AC22" s="62">
        <v>0</v>
      </c>
      <c r="AD22" s="166">
        <v>0</v>
      </c>
    </row>
    <row r="23" spans="1:71" ht="19.5" thickBot="1" x14ac:dyDescent="0.35">
      <c r="A23" s="43">
        <v>32</v>
      </c>
      <c r="B23" s="44" t="s">
        <v>11</v>
      </c>
      <c r="C23" s="89">
        <v>349472.92</v>
      </c>
      <c r="D23" s="89">
        <v>156326.39000000001</v>
      </c>
      <c r="E23" s="89">
        <f t="shared" ref="E23:E28" si="2">D23/C23*100</f>
        <v>44.732046763451663</v>
      </c>
      <c r="F23" s="89">
        <f>1352160.85/7.5345</f>
        <v>179462.58544030791</v>
      </c>
      <c r="G23" s="89">
        <f t="shared" si="0"/>
        <v>87.108067465124435</v>
      </c>
      <c r="H23" s="106">
        <v>90000</v>
      </c>
      <c r="I23" s="106">
        <f>I24+I66+I115</f>
        <v>58306.340000000004</v>
      </c>
      <c r="J23" s="63">
        <v>123309</v>
      </c>
      <c r="K23" s="63">
        <f>K24+K41+K66+K115</f>
        <v>50998.87</v>
      </c>
      <c r="L23" s="105">
        <v>0</v>
      </c>
      <c r="M23" s="105">
        <v>0</v>
      </c>
      <c r="N23" s="107">
        <v>116434.92</v>
      </c>
      <c r="O23" s="107">
        <f>O24+O41+O66+O115+O119</f>
        <v>39506.36</v>
      </c>
      <c r="P23" s="105">
        <v>0</v>
      </c>
      <c r="Q23" s="105">
        <v>18960</v>
      </c>
      <c r="R23" s="105">
        <f>R24+R66+R115+R119</f>
        <v>7273.1</v>
      </c>
      <c r="S23" s="105">
        <v>52</v>
      </c>
      <c r="T23" s="105">
        <f>T24</f>
        <v>18.91</v>
      </c>
      <c r="U23" s="105">
        <f>U41</f>
        <v>20</v>
      </c>
      <c r="V23" s="105">
        <f>V49</f>
        <v>5.51</v>
      </c>
      <c r="W23" s="105">
        <v>0</v>
      </c>
      <c r="X23" s="105">
        <v>0</v>
      </c>
      <c r="Y23" s="105">
        <v>0</v>
      </c>
      <c r="Z23" s="105">
        <v>0</v>
      </c>
      <c r="AA23" s="63">
        <v>299</v>
      </c>
      <c r="AB23" s="63">
        <f>AB24</f>
        <v>107.15</v>
      </c>
      <c r="AC23" s="105">
        <f>AC41</f>
        <v>398</v>
      </c>
      <c r="AD23" s="163">
        <f>AD41</f>
        <v>110.15</v>
      </c>
    </row>
    <row r="24" spans="1:71" s="11" customFormat="1" ht="39" customHeight="1" thickBot="1" x14ac:dyDescent="0.35">
      <c r="A24" s="43">
        <v>321</v>
      </c>
      <c r="B24" s="115" t="s">
        <v>51</v>
      </c>
      <c r="C24" s="89">
        <v>114198.38</v>
      </c>
      <c r="D24" s="89">
        <v>55962.98</v>
      </c>
      <c r="E24" s="89">
        <f t="shared" si="2"/>
        <v>49.005055938621901</v>
      </c>
      <c r="F24" s="89">
        <f>379269.27/7.5345</f>
        <v>50337.68265976508</v>
      </c>
      <c r="G24" s="89">
        <f t="shared" si="0"/>
        <v>111.17512178352864</v>
      </c>
      <c r="H24" s="106">
        <v>60000</v>
      </c>
      <c r="I24" s="106">
        <f>I33</f>
        <v>40873.93</v>
      </c>
      <c r="J24" s="63">
        <v>25039</v>
      </c>
      <c r="K24" s="63">
        <f>K33</f>
        <v>14</v>
      </c>
      <c r="L24" s="105">
        <v>0</v>
      </c>
      <c r="M24" s="105">
        <v>0</v>
      </c>
      <c r="N24" s="107">
        <v>27248.38</v>
      </c>
      <c r="O24" s="107">
        <f>O25+O33+O35</f>
        <v>14808.989999999998</v>
      </c>
      <c r="P24" s="105">
        <v>0</v>
      </c>
      <c r="Q24" s="105">
        <v>1560</v>
      </c>
      <c r="R24" s="105">
        <f>R35</f>
        <v>140</v>
      </c>
      <c r="S24" s="105">
        <v>52</v>
      </c>
      <c r="T24" s="105">
        <f>T33</f>
        <v>18.91</v>
      </c>
      <c r="U24" s="105">
        <v>0</v>
      </c>
      <c r="V24" s="105">
        <v>0</v>
      </c>
      <c r="W24" s="105">
        <v>0</v>
      </c>
      <c r="X24" s="105">
        <v>0</v>
      </c>
      <c r="Y24" s="105">
        <v>0</v>
      </c>
      <c r="Z24" s="105">
        <v>0</v>
      </c>
      <c r="AA24" s="63">
        <v>299</v>
      </c>
      <c r="AB24" s="63">
        <f>AB33</f>
        <v>107.15</v>
      </c>
      <c r="AC24" s="105">
        <v>0</v>
      </c>
      <c r="AD24" s="163">
        <v>0</v>
      </c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</row>
    <row r="25" spans="1:71" s="15" customFormat="1" x14ac:dyDescent="0.3">
      <c r="A25" s="108">
        <v>3211</v>
      </c>
      <c r="B25" s="109" t="s">
        <v>23</v>
      </c>
      <c r="C25" s="110">
        <v>17480</v>
      </c>
      <c r="D25" s="110">
        <v>5660.61</v>
      </c>
      <c r="E25" s="110">
        <f t="shared" si="2"/>
        <v>32.383352402745999</v>
      </c>
      <c r="F25" s="110">
        <f>58276.19/7.5345</f>
        <v>7734.5796005043467</v>
      </c>
      <c r="G25" s="110">
        <f t="shared" si="0"/>
        <v>73.185748836703297</v>
      </c>
      <c r="H25" s="111">
        <v>0</v>
      </c>
      <c r="I25" s="111">
        <v>0</v>
      </c>
      <c r="J25" s="112">
        <v>0</v>
      </c>
      <c r="K25" s="112">
        <v>0</v>
      </c>
      <c r="L25" s="113">
        <v>0</v>
      </c>
      <c r="M25" s="113">
        <v>0</v>
      </c>
      <c r="N25" s="194">
        <v>16100</v>
      </c>
      <c r="O25" s="114">
        <f>O26+O27+O28+O30</f>
        <v>5660.61</v>
      </c>
      <c r="P25" s="113">
        <v>0</v>
      </c>
      <c r="Q25" s="113">
        <v>1380</v>
      </c>
      <c r="R25" s="113">
        <v>0</v>
      </c>
      <c r="S25" s="113">
        <v>0</v>
      </c>
      <c r="T25" s="113">
        <v>0</v>
      </c>
      <c r="U25" s="113">
        <v>0</v>
      </c>
      <c r="V25" s="113">
        <v>0</v>
      </c>
      <c r="W25" s="113">
        <v>0</v>
      </c>
      <c r="X25" s="113">
        <v>0</v>
      </c>
      <c r="Y25" s="113">
        <v>0</v>
      </c>
      <c r="Z25" s="113">
        <v>0</v>
      </c>
      <c r="AA25" s="112">
        <v>0</v>
      </c>
      <c r="AB25" s="112">
        <v>0</v>
      </c>
      <c r="AC25" s="113">
        <v>0</v>
      </c>
      <c r="AD25" s="167">
        <v>0</v>
      </c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</row>
    <row r="26" spans="1:71" x14ac:dyDescent="0.3">
      <c r="A26" s="54">
        <v>32111</v>
      </c>
      <c r="B26" s="19" t="s">
        <v>58</v>
      </c>
      <c r="C26" s="79">
        <v>6000</v>
      </c>
      <c r="D26" s="79">
        <v>2522.3000000000002</v>
      </c>
      <c r="E26" s="79">
        <f t="shared" si="2"/>
        <v>42.038333333333341</v>
      </c>
      <c r="F26" s="79">
        <f>26410/7.5345</f>
        <v>3505.2093702302741</v>
      </c>
      <c r="G26" s="79">
        <f t="shared" si="0"/>
        <v>71.958611700113593</v>
      </c>
      <c r="H26" s="37">
        <v>0</v>
      </c>
      <c r="I26" s="37">
        <v>0</v>
      </c>
      <c r="J26" s="34">
        <v>0</v>
      </c>
      <c r="K26" s="34">
        <v>0</v>
      </c>
      <c r="L26" s="34">
        <v>0</v>
      </c>
      <c r="M26" s="34">
        <v>0</v>
      </c>
      <c r="N26" s="195">
        <v>5600</v>
      </c>
      <c r="O26" s="73">
        <v>2522.3000000000002</v>
      </c>
      <c r="P26" s="34">
        <v>0</v>
      </c>
      <c r="Q26" s="34">
        <v>400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168">
        <v>0</v>
      </c>
    </row>
    <row r="27" spans="1:71" ht="36.75" x14ac:dyDescent="0.3">
      <c r="A27" s="54">
        <v>32112</v>
      </c>
      <c r="B27" s="19" t="s">
        <v>59</v>
      </c>
      <c r="C27" s="79">
        <v>500</v>
      </c>
      <c r="D27" s="79">
        <v>120</v>
      </c>
      <c r="E27" s="95">
        <f t="shared" si="2"/>
        <v>24</v>
      </c>
      <c r="F27" s="95">
        <f>905.71/7.5345</f>
        <v>120.20837480921097</v>
      </c>
      <c r="G27" s="95">
        <f t="shared" si="0"/>
        <v>99.826655331176639</v>
      </c>
      <c r="H27" s="37">
        <v>0</v>
      </c>
      <c r="I27" s="37">
        <v>0</v>
      </c>
      <c r="J27" s="34">
        <v>0</v>
      </c>
      <c r="K27" s="34">
        <v>0</v>
      </c>
      <c r="L27" s="34">
        <v>0</v>
      </c>
      <c r="M27" s="34">
        <v>0</v>
      </c>
      <c r="N27" s="195">
        <v>500</v>
      </c>
      <c r="O27" s="73">
        <v>120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168">
        <v>0</v>
      </c>
    </row>
    <row r="28" spans="1:71" ht="36.75" x14ac:dyDescent="0.3">
      <c r="A28" s="54">
        <v>32113</v>
      </c>
      <c r="B28" s="19" t="s">
        <v>60</v>
      </c>
      <c r="C28" s="79">
        <v>7200</v>
      </c>
      <c r="D28" s="79">
        <v>1917.69</v>
      </c>
      <c r="E28" s="79">
        <f t="shared" si="2"/>
        <v>26.634583333333335</v>
      </c>
      <c r="F28" s="79">
        <f>17744.13/7.5345</f>
        <v>2355.0507664742186</v>
      </c>
      <c r="G28" s="79">
        <f t="shared" si="0"/>
        <v>81.428817896397291</v>
      </c>
      <c r="H28" s="37">
        <v>0</v>
      </c>
      <c r="I28" s="37">
        <v>0</v>
      </c>
      <c r="J28" s="34">
        <v>0</v>
      </c>
      <c r="K28" s="34">
        <v>0</v>
      </c>
      <c r="L28" s="34">
        <v>0</v>
      </c>
      <c r="M28" s="34">
        <v>0</v>
      </c>
      <c r="N28" s="195">
        <v>6500</v>
      </c>
      <c r="O28" s="73">
        <v>1917.69</v>
      </c>
      <c r="P28" s="34">
        <v>0</v>
      </c>
      <c r="Q28" s="34">
        <v>700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168">
        <v>0</v>
      </c>
    </row>
    <row r="29" spans="1:71" ht="36.75" x14ac:dyDescent="0.3">
      <c r="A29" s="54">
        <v>32114</v>
      </c>
      <c r="B29" s="19" t="s">
        <v>61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37">
        <v>0</v>
      </c>
      <c r="I29" s="37">
        <v>0</v>
      </c>
      <c r="J29" s="34">
        <v>0</v>
      </c>
      <c r="K29" s="34">
        <v>0</v>
      </c>
      <c r="L29" s="34">
        <v>0</v>
      </c>
      <c r="M29" s="34">
        <v>0</v>
      </c>
      <c r="N29" s="195">
        <v>0</v>
      </c>
      <c r="O29" s="73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168">
        <v>0</v>
      </c>
    </row>
    <row r="30" spans="1:71" ht="36.75" x14ac:dyDescent="0.3">
      <c r="A30" s="54">
        <v>32115</v>
      </c>
      <c r="B30" s="19" t="s">
        <v>62</v>
      </c>
      <c r="C30" s="79">
        <v>3780</v>
      </c>
      <c r="D30" s="79">
        <v>1100.6199999999999</v>
      </c>
      <c r="E30" s="79">
        <f>D30/C30*100</f>
        <v>29.116931216931214</v>
      </c>
      <c r="F30" s="79">
        <f>13216.35/7.5345</f>
        <v>1754.1110889906429</v>
      </c>
      <c r="G30" s="79">
        <f t="shared" si="0"/>
        <v>62.745170867902253</v>
      </c>
      <c r="H30" s="37">
        <v>0</v>
      </c>
      <c r="I30" s="37">
        <v>0</v>
      </c>
      <c r="J30" s="34">
        <v>0</v>
      </c>
      <c r="K30" s="34">
        <v>0</v>
      </c>
      <c r="L30" s="34">
        <v>0</v>
      </c>
      <c r="M30" s="34">
        <v>0</v>
      </c>
      <c r="N30" s="195">
        <v>3500</v>
      </c>
      <c r="O30" s="73">
        <v>1100.6199999999999</v>
      </c>
      <c r="P30" s="34">
        <v>0</v>
      </c>
      <c r="Q30" s="34">
        <v>280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168">
        <v>0</v>
      </c>
    </row>
    <row r="31" spans="1:71" ht="36.75" x14ac:dyDescent="0.3">
      <c r="A31" s="54">
        <v>32116</v>
      </c>
      <c r="B31" s="19" t="s">
        <v>63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37">
        <v>0</v>
      </c>
      <c r="I31" s="37">
        <v>0</v>
      </c>
      <c r="J31" s="34">
        <v>0</v>
      </c>
      <c r="K31" s="34">
        <v>0</v>
      </c>
      <c r="L31" s="34">
        <v>0</v>
      </c>
      <c r="M31" s="34">
        <v>0</v>
      </c>
      <c r="N31" s="195">
        <v>0</v>
      </c>
      <c r="O31" s="73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168">
        <v>0</v>
      </c>
    </row>
    <row r="32" spans="1:71" x14ac:dyDescent="0.3">
      <c r="A32" s="54">
        <v>32117</v>
      </c>
      <c r="B32" s="19" t="s">
        <v>64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37">
        <v>0</v>
      </c>
      <c r="I32" s="37">
        <v>0</v>
      </c>
      <c r="J32" s="34">
        <v>0</v>
      </c>
      <c r="K32" s="34">
        <v>0</v>
      </c>
      <c r="L32" s="34">
        <v>0</v>
      </c>
      <c r="M32" s="34">
        <v>0</v>
      </c>
      <c r="N32" s="195">
        <v>0</v>
      </c>
      <c r="O32" s="73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168">
        <v>0</v>
      </c>
    </row>
    <row r="33" spans="1:71" ht="36.75" x14ac:dyDescent="0.3">
      <c r="A33" s="53">
        <v>3212</v>
      </c>
      <c r="B33" s="17" t="s">
        <v>168</v>
      </c>
      <c r="C33" s="138">
        <v>94238.38</v>
      </c>
      <c r="D33" s="138">
        <v>49862.37</v>
      </c>
      <c r="E33" s="138">
        <f>D33/C33*100</f>
        <v>52.910894690676983</v>
      </c>
      <c r="F33" s="138">
        <f>316243.08/7.5345</f>
        <v>41972.669719291262</v>
      </c>
      <c r="G33" s="138">
        <f>D33/F33*100</f>
        <v>118.7972324216549</v>
      </c>
      <c r="H33" s="139">
        <v>60000</v>
      </c>
      <c r="I33" s="139">
        <f>I34</f>
        <v>40873.93</v>
      </c>
      <c r="J33" s="36">
        <v>25039</v>
      </c>
      <c r="K33" s="36">
        <f>K34</f>
        <v>14</v>
      </c>
      <c r="L33" s="36">
        <v>0</v>
      </c>
      <c r="M33" s="36">
        <v>0</v>
      </c>
      <c r="N33" s="196">
        <v>8848.380000000001</v>
      </c>
      <c r="O33" s="140">
        <f>O34</f>
        <v>8848.3799999999992</v>
      </c>
      <c r="P33" s="36">
        <v>0</v>
      </c>
      <c r="Q33" s="36">
        <v>0</v>
      </c>
      <c r="R33" s="36">
        <v>0</v>
      </c>
      <c r="S33" s="36">
        <v>52</v>
      </c>
      <c r="T33" s="36">
        <f>T34</f>
        <v>18.91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299</v>
      </c>
      <c r="AB33" s="36">
        <f>AB34</f>
        <v>107.15</v>
      </c>
      <c r="AC33" s="36">
        <v>0</v>
      </c>
      <c r="AD33" s="169">
        <v>0</v>
      </c>
    </row>
    <row r="34" spans="1:71" s="15" customFormat="1" ht="36.75" x14ac:dyDescent="0.3">
      <c r="A34" s="55">
        <v>32121</v>
      </c>
      <c r="B34" s="21" t="s">
        <v>134</v>
      </c>
      <c r="C34" s="95">
        <v>94238.38</v>
      </c>
      <c r="D34" s="95">
        <v>49862.37</v>
      </c>
      <c r="E34" s="95">
        <f>D34/C34*100</f>
        <v>52.910894690676983</v>
      </c>
      <c r="F34" s="95">
        <f>316243.08/7.5345</f>
        <v>41972.669719291262</v>
      </c>
      <c r="G34" s="95">
        <f>D34/F34*100</f>
        <v>118.7972324216549</v>
      </c>
      <c r="H34" s="136">
        <v>60000</v>
      </c>
      <c r="I34" s="136">
        <v>40873.93</v>
      </c>
      <c r="J34" s="137">
        <v>25039</v>
      </c>
      <c r="K34" s="137">
        <v>14</v>
      </c>
      <c r="L34" s="96">
        <v>0</v>
      </c>
      <c r="M34" s="96">
        <v>0</v>
      </c>
      <c r="N34" s="197">
        <v>8848.380000000001</v>
      </c>
      <c r="O34" s="134">
        <v>8848.3799999999992</v>
      </c>
      <c r="P34" s="96">
        <v>0</v>
      </c>
      <c r="Q34" s="96">
        <v>0</v>
      </c>
      <c r="R34" s="96">
        <v>0</v>
      </c>
      <c r="S34" s="96">
        <v>52</v>
      </c>
      <c r="T34" s="96">
        <v>18.91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0</v>
      </c>
      <c r="AA34" s="137">
        <v>299</v>
      </c>
      <c r="AB34" s="137">
        <v>107.15</v>
      </c>
      <c r="AC34" s="96">
        <v>0</v>
      </c>
      <c r="AD34" s="165">
        <v>0</v>
      </c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</row>
    <row r="35" spans="1:71" s="15" customFormat="1" x14ac:dyDescent="0.3">
      <c r="A35" s="53">
        <v>3213</v>
      </c>
      <c r="B35" s="17" t="s">
        <v>24</v>
      </c>
      <c r="C35" s="78">
        <v>2480</v>
      </c>
      <c r="D35" s="78">
        <v>440</v>
      </c>
      <c r="E35" s="78">
        <f>D35/C35*100</f>
        <v>17.741935483870968</v>
      </c>
      <c r="F35" s="78">
        <f>4750/7.5345</f>
        <v>630.43333996947376</v>
      </c>
      <c r="G35" s="78">
        <f>D35/F35*100</f>
        <v>69.793263157894742</v>
      </c>
      <c r="H35" s="65">
        <v>0</v>
      </c>
      <c r="I35" s="65">
        <v>0</v>
      </c>
      <c r="J35" s="68">
        <v>0</v>
      </c>
      <c r="K35" s="68">
        <v>0</v>
      </c>
      <c r="L35" s="38">
        <v>0</v>
      </c>
      <c r="M35" s="38">
        <v>0</v>
      </c>
      <c r="N35" s="198">
        <v>2300</v>
      </c>
      <c r="O35" s="72">
        <f>O36</f>
        <v>300</v>
      </c>
      <c r="P35" s="38">
        <v>0</v>
      </c>
      <c r="Q35" s="38">
        <v>180</v>
      </c>
      <c r="R35" s="38">
        <f>R36</f>
        <v>140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170">
        <v>0</v>
      </c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</row>
    <row r="36" spans="1:71" ht="36.75" x14ac:dyDescent="0.3">
      <c r="A36" s="54">
        <v>32131</v>
      </c>
      <c r="B36" s="19" t="s">
        <v>65</v>
      </c>
      <c r="C36" s="79">
        <v>1480</v>
      </c>
      <c r="D36" s="79">
        <v>440</v>
      </c>
      <c r="E36" s="79">
        <f>D36/C36*100</f>
        <v>29.72972972972973</v>
      </c>
      <c r="F36" s="79">
        <f>4750/7.5345</f>
        <v>630.43333996947376</v>
      </c>
      <c r="G36" s="79">
        <f>D36/F36*100</f>
        <v>69.793263157894742</v>
      </c>
      <c r="H36" s="37">
        <v>0</v>
      </c>
      <c r="I36" s="37">
        <v>0</v>
      </c>
      <c r="J36" s="41">
        <v>0</v>
      </c>
      <c r="K36" s="41">
        <v>0</v>
      </c>
      <c r="L36" s="41">
        <v>0</v>
      </c>
      <c r="M36" s="41">
        <v>0</v>
      </c>
      <c r="N36" s="195">
        <v>1300</v>
      </c>
      <c r="O36" s="73">
        <v>300</v>
      </c>
      <c r="P36" s="41">
        <v>0</v>
      </c>
      <c r="Q36" s="41">
        <v>180</v>
      </c>
      <c r="R36" s="41">
        <v>140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161">
        <v>0</v>
      </c>
    </row>
    <row r="37" spans="1:71" x14ac:dyDescent="0.3">
      <c r="A37" s="54">
        <v>32132</v>
      </c>
      <c r="B37" s="19" t="s">
        <v>66</v>
      </c>
      <c r="C37" s="79">
        <v>1000</v>
      </c>
      <c r="D37" s="79">
        <v>0</v>
      </c>
      <c r="E37" s="79">
        <f>D37/C37*100</f>
        <v>0</v>
      </c>
      <c r="F37" s="79">
        <v>0</v>
      </c>
      <c r="G37" s="79">
        <v>0</v>
      </c>
      <c r="H37" s="37">
        <v>0</v>
      </c>
      <c r="I37" s="37">
        <v>0</v>
      </c>
      <c r="J37" s="41">
        <v>0</v>
      </c>
      <c r="K37" s="41">
        <v>0</v>
      </c>
      <c r="L37" s="41">
        <v>0</v>
      </c>
      <c r="M37" s="41">
        <v>0</v>
      </c>
      <c r="N37" s="195">
        <v>1000</v>
      </c>
      <c r="O37" s="73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161">
        <v>0</v>
      </c>
    </row>
    <row r="38" spans="1:71" s="15" customFormat="1" ht="36.75" x14ac:dyDescent="0.3">
      <c r="A38" s="53">
        <v>3214</v>
      </c>
      <c r="B38" s="17" t="s">
        <v>49</v>
      </c>
      <c r="C38" s="78">
        <v>0</v>
      </c>
      <c r="D38" s="78">
        <v>0</v>
      </c>
      <c r="E38" s="78">
        <v>0</v>
      </c>
      <c r="F38" s="78">
        <v>0</v>
      </c>
      <c r="G38" s="78">
        <v>0</v>
      </c>
      <c r="H38" s="65">
        <v>0</v>
      </c>
      <c r="I38" s="65">
        <v>0</v>
      </c>
      <c r="J38" s="68">
        <v>0</v>
      </c>
      <c r="K38" s="68">
        <v>0</v>
      </c>
      <c r="L38" s="38">
        <v>0</v>
      </c>
      <c r="M38" s="38">
        <v>0</v>
      </c>
      <c r="N38" s="198">
        <v>0</v>
      </c>
      <c r="O38" s="72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170">
        <v>0</v>
      </c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</row>
    <row r="39" spans="1:71" ht="36.75" x14ac:dyDescent="0.3">
      <c r="A39" s="54">
        <v>32141</v>
      </c>
      <c r="B39" s="19" t="s">
        <v>49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37">
        <v>0</v>
      </c>
      <c r="I39" s="37">
        <v>0</v>
      </c>
      <c r="J39" s="41">
        <v>0</v>
      </c>
      <c r="K39" s="41">
        <v>0</v>
      </c>
      <c r="L39" s="41">
        <v>0</v>
      </c>
      <c r="M39" s="41">
        <v>0</v>
      </c>
      <c r="N39" s="195">
        <v>0</v>
      </c>
      <c r="O39" s="73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161">
        <v>0</v>
      </c>
    </row>
    <row r="40" spans="1:71" ht="19.5" thickBot="1" x14ac:dyDescent="0.35">
      <c r="A40" s="52">
        <v>32149</v>
      </c>
      <c r="B40" s="116" t="s">
        <v>67</v>
      </c>
      <c r="C40" s="77">
        <v>0</v>
      </c>
      <c r="D40" s="77">
        <v>0</v>
      </c>
      <c r="E40" s="77">
        <v>0</v>
      </c>
      <c r="F40" s="77">
        <v>0</v>
      </c>
      <c r="G40" s="77">
        <v>0</v>
      </c>
      <c r="H40" s="117">
        <v>0</v>
      </c>
      <c r="I40" s="117">
        <v>0</v>
      </c>
      <c r="J40" s="42">
        <v>0</v>
      </c>
      <c r="K40" s="42">
        <v>0</v>
      </c>
      <c r="L40" s="42">
        <v>0</v>
      </c>
      <c r="M40" s="42">
        <v>0</v>
      </c>
      <c r="N40" s="199">
        <v>0</v>
      </c>
      <c r="O40" s="75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162">
        <v>0</v>
      </c>
    </row>
    <row r="41" spans="1:71" s="11" customFormat="1" ht="37.5" thickBot="1" x14ac:dyDescent="0.35">
      <c r="A41" s="43">
        <v>322</v>
      </c>
      <c r="B41" s="115" t="s">
        <v>2</v>
      </c>
      <c r="C41" s="89">
        <v>100968</v>
      </c>
      <c r="D41" s="89">
        <v>44309.880000000005</v>
      </c>
      <c r="E41" s="89">
        <f>D41/C41*100</f>
        <v>43.885072498217262</v>
      </c>
      <c r="F41" s="89">
        <f>507850.97/7.5345</f>
        <v>67403.40699449199</v>
      </c>
      <c r="G41" s="89">
        <f t="shared" ref="G41:G72" si="3">D41/F41*100</f>
        <v>65.73833872169233</v>
      </c>
      <c r="H41" s="106">
        <v>3900</v>
      </c>
      <c r="I41" s="106">
        <v>0</v>
      </c>
      <c r="J41" s="71">
        <v>77000</v>
      </c>
      <c r="K41" s="71">
        <f>K51</f>
        <v>39183.58</v>
      </c>
      <c r="L41" s="45">
        <v>0</v>
      </c>
      <c r="M41" s="45">
        <v>0</v>
      </c>
      <c r="N41" s="200">
        <v>19650</v>
      </c>
      <c r="O41" s="90">
        <f>O42+O51+O57+O62</f>
        <v>5010.6399999999994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f>U49</f>
        <v>20</v>
      </c>
      <c r="V41" s="45">
        <f>V49</f>
        <v>5.51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f>AC49</f>
        <v>398</v>
      </c>
      <c r="AD41" s="159">
        <f>AD49</f>
        <v>110.15</v>
      </c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</row>
    <row r="42" spans="1:71" s="15" customFormat="1" x14ac:dyDescent="0.3">
      <c r="A42" s="108">
        <v>3221</v>
      </c>
      <c r="B42" s="109" t="s">
        <v>25</v>
      </c>
      <c r="C42" s="110">
        <v>7200</v>
      </c>
      <c r="D42" s="110">
        <v>2065.6999999999998</v>
      </c>
      <c r="E42" s="110">
        <f>D42/C42*100</f>
        <v>28.690277777777773</v>
      </c>
      <c r="F42" s="110">
        <f>17432.77/7.5345</f>
        <v>2313.7261928462403</v>
      </c>
      <c r="G42" s="110">
        <f t="shared" si="3"/>
        <v>89.280227123973987</v>
      </c>
      <c r="H42" s="111">
        <v>0</v>
      </c>
      <c r="I42" s="111">
        <v>0</v>
      </c>
      <c r="J42" s="118">
        <v>0</v>
      </c>
      <c r="K42" s="118">
        <v>0</v>
      </c>
      <c r="L42" s="119">
        <v>0</v>
      </c>
      <c r="M42" s="119">
        <v>0</v>
      </c>
      <c r="N42" s="194">
        <v>7200</v>
      </c>
      <c r="O42" s="114">
        <f>O43+O47+O48</f>
        <v>2065.6999999999998</v>
      </c>
      <c r="P42" s="119">
        <v>0</v>
      </c>
      <c r="Q42" s="119">
        <v>0</v>
      </c>
      <c r="R42" s="119">
        <v>0</v>
      </c>
      <c r="S42" s="119">
        <v>0</v>
      </c>
      <c r="T42" s="119">
        <v>0</v>
      </c>
      <c r="U42" s="119">
        <v>0</v>
      </c>
      <c r="V42" s="119">
        <v>0</v>
      </c>
      <c r="W42" s="119">
        <v>0</v>
      </c>
      <c r="X42" s="119">
        <v>0</v>
      </c>
      <c r="Y42" s="119">
        <v>0</v>
      </c>
      <c r="Z42" s="119">
        <v>0</v>
      </c>
      <c r="AA42" s="119">
        <v>0</v>
      </c>
      <c r="AB42" s="119">
        <v>0</v>
      </c>
      <c r="AC42" s="119">
        <v>0</v>
      </c>
      <c r="AD42" s="171">
        <v>0</v>
      </c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</row>
    <row r="43" spans="1:71" x14ac:dyDescent="0.3">
      <c r="A43" s="54">
        <v>32211</v>
      </c>
      <c r="B43" s="19" t="s">
        <v>25</v>
      </c>
      <c r="C43" s="79">
        <v>2500</v>
      </c>
      <c r="D43" s="79">
        <v>1343.03</v>
      </c>
      <c r="E43" s="79">
        <f>D43/C43*100</f>
        <v>53.721200000000003</v>
      </c>
      <c r="F43" s="79">
        <f>7624.84/7.5345</f>
        <v>1011.9901785121773</v>
      </c>
      <c r="G43" s="79">
        <f t="shared" si="3"/>
        <v>132.71176227960194</v>
      </c>
      <c r="H43" s="37">
        <v>0</v>
      </c>
      <c r="I43" s="37">
        <v>0</v>
      </c>
      <c r="J43" s="41">
        <v>0</v>
      </c>
      <c r="K43" s="41">
        <v>0</v>
      </c>
      <c r="L43" s="41">
        <v>0</v>
      </c>
      <c r="M43" s="41">
        <v>0</v>
      </c>
      <c r="N43" s="195">
        <v>2500</v>
      </c>
      <c r="O43" s="73">
        <v>1343.03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161">
        <v>0</v>
      </c>
    </row>
    <row r="44" spans="1:71" x14ac:dyDescent="0.3">
      <c r="A44" s="54">
        <v>32212</v>
      </c>
      <c r="B44" s="19" t="s">
        <v>68</v>
      </c>
      <c r="C44" s="79">
        <v>300</v>
      </c>
      <c r="D44" s="79">
        <v>0</v>
      </c>
      <c r="E44" s="79">
        <v>0</v>
      </c>
      <c r="F44" s="79">
        <f>751.45/7.5345</f>
        <v>99.734554383170746</v>
      </c>
      <c r="G44" s="79">
        <f t="shared" si="3"/>
        <v>0</v>
      </c>
      <c r="H44" s="37">
        <v>0</v>
      </c>
      <c r="I44" s="37">
        <v>0</v>
      </c>
      <c r="J44" s="41">
        <v>0</v>
      </c>
      <c r="K44" s="41">
        <v>0</v>
      </c>
      <c r="L44" s="41">
        <v>0</v>
      </c>
      <c r="M44" s="41">
        <v>0</v>
      </c>
      <c r="N44" s="195">
        <v>300</v>
      </c>
      <c r="O44" s="73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161">
        <v>0</v>
      </c>
    </row>
    <row r="45" spans="1:71" x14ac:dyDescent="0.3">
      <c r="A45" s="54">
        <v>32213</v>
      </c>
      <c r="B45" s="19" t="s">
        <v>69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37">
        <v>0</v>
      </c>
      <c r="I45" s="37">
        <v>0</v>
      </c>
      <c r="J45" s="41">
        <v>0</v>
      </c>
      <c r="K45" s="41">
        <v>0</v>
      </c>
      <c r="L45" s="41">
        <v>0</v>
      </c>
      <c r="M45" s="41">
        <v>0</v>
      </c>
      <c r="N45" s="195">
        <v>0</v>
      </c>
      <c r="O45" s="73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161">
        <v>0</v>
      </c>
    </row>
    <row r="46" spans="1:71" ht="36.75" x14ac:dyDescent="0.3">
      <c r="A46" s="54">
        <v>32214</v>
      </c>
      <c r="B46" s="19" t="s">
        <v>70</v>
      </c>
      <c r="C46" s="79">
        <v>600</v>
      </c>
      <c r="D46" s="79">
        <v>0</v>
      </c>
      <c r="E46" s="79">
        <f t="shared" ref="E46:E52" si="4">D46/C46*100</f>
        <v>0</v>
      </c>
      <c r="F46" s="79">
        <f>251.35/7.5345</f>
        <v>33.359877895016254</v>
      </c>
      <c r="G46" s="79">
        <f t="shared" si="3"/>
        <v>0</v>
      </c>
      <c r="H46" s="37">
        <v>0</v>
      </c>
      <c r="I46" s="37">
        <v>0</v>
      </c>
      <c r="J46" s="41">
        <v>0</v>
      </c>
      <c r="K46" s="41">
        <v>0</v>
      </c>
      <c r="L46" s="41">
        <v>0</v>
      </c>
      <c r="M46" s="41">
        <v>0</v>
      </c>
      <c r="N46" s="195">
        <v>600</v>
      </c>
      <c r="O46" s="73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161">
        <v>0</v>
      </c>
    </row>
    <row r="47" spans="1:71" x14ac:dyDescent="0.3">
      <c r="A47" s="54">
        <v>32216</v>
      </c>
      <c r="B47" s="19" t="s">
        <v>71</v>
      </c>
      <c r="C47" s="79">
        <v>1600</v>
      </c>
      <c r="D47" s="79">
        <v>99</v>
      </c>
      <c r="E47" s="79">
        <f t="shared" si="4"/>
        <v>6.1875</v>
      </c>
      <c r="F47" s="79">
        <f>39.96/7.5345</f>
        <v>5.3036034242484567</v>
      </c>
      <c r="G47" s="79">
        <f t="shared" si="3"/>
        <v>1866.6554054054056</v>
      </c>
      <c r="H47" s="37">
        <v>0</v>
      </c>
      <c r="I47" s="37">
        <v>0</v>
      </c>
      <c r="J47" s="41">
        <v>0</v>
      </c>
      <c r="K47" s="41">
        <v>0</v>
      </c>
      <c r="L47" s="41">
        <v>0</v>
      </c>
      <c r="M47" s="41">
        <v>0</v>
      </c>
      <c r="N47" s="195">
        <v>1600</v>
      </c>
      <c r="O47" s="73">
        <v>99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161">
        <v>0</v>
      </c>
    </row>
    <row r="48" spans="1:71" ht="36.75" x14ac:dyDescent="0.3">
      <c r="A48" s="54">
        <v>32219</v>
      </c>
      <c r="B48" s="19" t="s">
        <v>72</v>
      </c>
      <c r="C48" s="79">
        <v>2200</v>
      </c>
      <c r="D48" s="79">
        <v>623.66999999999996</v>
      </c>
      <c r="E48" s="79">
        <f t="shared" si="4"/>
        <v>28.348636363636359</v>
      </c>
      <c r="F48" s="79">
        <f>8765.17/7.5345</f>
        <v>1163.3379786316277</v>
      </c>
      <c r="G48" s="79">
        <f t="shared" si="3"/>
        <v>53.610387647929244</v>
      </c>
      <c r="H48" s="37">
        <v>0</v>
      </c>
      <c r="I48" s="37">
        <v>0</v>
      </c>
      <c r="J48" s="41">
        <v>0</v>
      </c>
      <c r="K48" s="41">
        <v>0</v>
      </c>
      <c r="L48" s="41">
        <v>0</v>
      </c>
      <c r="M48" s="41">
        <v>0</v>
      </c>
      <c r="N48" s="195">
        <v>2200</v>
      </c>
      <c r="O48" s="73">
        <v>623.66999999999996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161">
        <v>0</v>
      </c>
    </row>
    <row r="49" spans="1:71" s="15" customFormat="1" x14ac:dyDescent="0.3">
      <c r="A49" s="53">
        <v>3222</v>
      </c>
      <c r="B49" s="17" t="s">
        <v>56</v>
      </c>
      <c r="C49" s="78">
        <v>418</v>
      </c>
      <c r="D49" s="78">
        <v>115.66000000000001</v>
      </c>
      <c r="E49" s="78">
        <f t="shared" si="4"/>
        <v>27.669856459330145</v>
      </c>
      <c r="F49" s="78">
        <v>0</v>
      </c>
      <c r="G49" s="78">
        <v>0</v>
      </c>
      <c r="H49" s="65">
        <v>0</v>
      </c>
      <c r="I49" s="65">
        <v>0</v>
      </c>
      <c r="J49" s="68">
        <v>0</v>
      </c>
      <c r="K49" s="68">
        <v>0</v>
      </c>
      <c r="L49" s="38">
        <v>0</v>
      </c>
      <c r="M49" s="38">
        <v>0</v>
      </c>
      <c r="N49" s="198">
        <v>0</v>
      </c>
      <c r="O49" s="72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f>U50</f>
        <v>20</v>
      </c>
      <c r="V49" s="38">
        <f>V50</f>
        <v>5.51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f>AC50</f>
        <v>398</v>
      </c>
      <c r="AD49" s="170">
        <f>AD50</f>
        <v>110.15</v>
      </c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</row>
    <row r="50" spans="1:71" s="15" customFormat="1" x14ac:dyDescent="0.3">
      <c r="A50" s="55">
        <v>32224</v>
      </c>
      <c r="B50" s="21" t="s">
        <v>167</v>
      </c>
      <c r="C50" s="95">
        <v>418</v>
      </c>
      <c r="D50" s="95">
        <v>115.66000000000001</v>
      </c>
      <c r="E50" s="95">
        <f t="shared" si="4"/>
        <v>27.669856459330145</v>
      </c>
      <c r="F50" s="95">
        <v>0</v>
      </c>
      <c r="G50" s="95">
        <v>0</v>
      </c>
      <c r="H50" s="136">
        <v>0</v>
      </c>
      <c r="I50" s="136">
        <v>0</v>
      </c>
      <c r="J50" s="135">
        <v>0</v>
      </c>
      <c r="K50" s="135">
        <v>0</v>
      </c>
      <c r="L50" s="40">
        <v>0</v>
      </c>
      <c r="M50" s="40">
        <v>0</v>
      </c>
      <c r="N50" s="197">
        <v>0</v>
      </c>
      <c r="O50" s="134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20</v>
      </c>
      <c r="V50" s="40">
        <v>5.51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398</v>
      </c>
      <c r="AD50" s="172">
        <v>110.15</v>
      </c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</row>
    <row r="51" spans="1:71" s="15" customFormat="1" x14ac:dyDescent="0.3">
      <c r="A51" s="53">
        <v>3223</v>
      </c>
      <c r="B51" s="17" t="s">
        <v>26</v>
      </c>
      <c r="C51" s="78">
        <v>88600</v>
      </c>
      <c r="D51" s="78">
        <v>41976.020000000004</v>
      </c>
      <c r="E51" s="78">
        <f t="shared" si="4"/>
        <v>47.376997742663661</v>
      </c>
      <c r="F51" s="78">
        <f>476396.15/7.5345</f>
        <v>63228.634945915452</v>
      </c>
      <c r="G51" s="78">
        <f t="shared" si="3"/>
        <v>66.387673932713369</v>
      </c>
      <c r="H51" s="65">
        <v>3900</v>
      </c>
      <c r="I51" s="65">
        <v>0</v>
      </c>
      <c r="J51" s="68">
        <v>77000</v>
      </c>
      <c r="K51" s="68">
        <f>K52+K54</f>
        <v>39183.58</v>
      </c>
      <c r="L51" s="38">
        <v>0</v>
      </c>
      <c r="M51" s="38">
        <v>0</v>
      </c>
      <c r="N51" s="198">
        <v>7700</v>
      </c>
      <c r="O51" s="72">
        <f>O54+O55</f>
        <v>2792.44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170">
        <v>0</v>
      </c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</row>
    <row r="52" spans="1:71" x14ac:dyDescent="0.3">
      <c r="A52" s="54">
        <v>32231</v>
      </c>
      <c r="B52" s="19" t="s">
        <v>26</v>
      </c>
      <c r="C52" s="79">
        <v>17000</v>
      </c>
      <c r="D52" s="79">
        <v>9750.7999999999993</v>
      </c>
      <c r="E52" s="79">
        <f t="shared" si="4"/>
        <v>57.357647058823524</v>
      </c>
      <c r="F52" s="79">
        <f>45220.11/7.5345</f>
        <v>6001.7399960183157</v>
      </c>
      <c r="G52" s="79">
        <f t="shared" si="3"/>
        <v>162.46621823785921</v>
      </c>
      <c r="H52" s="37">
        <v>0</v>
      </c>
      <c r="I52" s="37">
        <v>0</v>
      </c>
      <c r="J52" s="41">
        <v>17000</v>
      </c>
      <c r="K52" s="41">
        <v>9750.7999999999993</v>
      </c>
      <c r="L52" s="41">
        <v>0</v>
      </c>
      <c r="M52" s="41">
        <v>0</v>
      </c>
      <c r="N52" s="195">
        <v>0</v>
      </c>
      <c r="O52" s="73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161">
        <v>0</v>
      </c>
    </row>
    <row r="53" spans="1:71" x14ac:dyDescent="0.3">
      <c r="A53" s="54">
        <v>32232</v>
      </c>
      <c r="B53" s="19" t="s">
        <v>73</v>
      </c>
      <c r="C53" s="79">
        <v>0</v>
      </c>
      <c r="D53" s="79">
        <v>0</v>
      </c>
      <c r="E53" s="79">
        <v>0</v>
      </c>
      <c r="F53" s="79">
        <v>0</v>
      </c>
      <c r="G53" s="79">
        <v>0</v>
      </c>
      <c r="H53" s="37">
        <v>0</v>
      </c>
      <c r="I53" s="37">
        <v>0</v>
      </c>
      <c r="J53" s="41">
        <v>0</v>
      </c>
      <c r="K53" s="41">
        <v>0</v>
      </c>
      <c r="L53" s="41">
        <v>0</v>
      </c>
      <c r="M53" s="41">
        <v>0</v>
      </c>
      <c r="N53" s="195">
        <v>0</v>
      </c>
      <c r="O53" s="73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161">
        <v>0</v>
      </c>
    </row>
    <row r="54" spans="1:71" x14ac:dyDescent="0.3">
      <c r="A54" s="54">
        <v>32233</v>
      </c>
      <c r="B54" s="19" t="s">
        <v>74</v>
      </c>
      <c r="C54" s="79">
        <v>69100</v>
      </c>
      <c r="D54" s="79">
        <v>31351.23</v>
      </c>
      <c r="E54" s="79">
        <f>D54/C54*100</f>
        <v>45.370810419681618</v>
      </c>
      <c r="F54" s="79">
        <f>421367.13/7.5345</f>
        <v>55925.028867210829</v>
      </c>
      <c r="G54" s="79">
        <f t="shared" si="3"/>
        <v>56.059389927970891</v>
      </c>
      <c r="H54" s="37">
        <v>3900</v>
      </c>
      <c r="I54" s="37">
        <v>0</v>
      </c>
      <c r="J54" s="41">
        <v>60000</v>
      </c>
      <c r="K54" s="41">
        <v>29432.78</v>
      </c>
      <c r="L54" s="41">
        <v>0</v>
      </c>
      <c r="M54" s="41">
        <v>0</v>
      </c>
      <c r="N54" s="195">
        <v>5200</v>
      </c>
      <c r="O54" s="73">
        <v>1918.45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161">
        <v>0</v>
      </c>
    </row>
    <row r="55" spans="1:71" x14ac:dyDescent="0.3">
      <c r="A55" s="54">
        <v>32234</v>
      </c>
      <c r="B55" s="19" t="s">
        <v>75</v>
      </c>
      <c r="C55" s="79">
        <v>2500</v>
      </c>
      <c r="D55" s="79">
        <v>873.99</v>
      </c>
      <c r="E55" s="79">
        <f>D55/C55*100</f>
        <v>34.959600000000002</v>
      </c>
      <c r="F55" s="79">
        <f>9808.91/7.5345</f>
        <v>1301.8660826863095</v>
      </c>
      <c r="G55" s="79">
        <f t="shared" si="3"/>
        <v>67.133633145782767</v>
      </c>
      <c r="H55" s="37">
        <v>0</v>
      </c>
      <c r="I55" s="37">
        <v>0</v>
      </c>
      <c r="J55" s="41">
        <v>0</v>
      </c>
      <c r="K55" s="41">
        <v>0</v>
      </c>
      <c r="L55" s="41">
        <v>0</v>
      </c>
      <c r="M55" s="41">
        <v>0</v>
      </c>
      <c r="N55" s="195">
        <v>2500</v>
      </c>
      <c r="O55" s="73">
        <v>873.99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161">
        <v>0</v>
      </c>
    </row>
    <row r="56" spans="1:71" ht="36.75" x14ac:dyDescent="0.3">
      <c r="A56" s="54">
        <v>32239</v>
      </c>
      <c r="B56" s="19" t="s">
        <v>76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37">
        <v>0</v>
      </c>
      <c r="I56" s="37">
        <v>0</v>
      </c>
      <c r="J56" s="41">
        <v>0</v>
      </c>
      <c r="K56" s="41">
        <v>0</v>
      </c>
      <c r="L56" s="41">
        <v>0</v>
      </c>
      <c r="M56" s="41">
        <v>0</v>
      </c>
      <c r="N56" s="195">
        <v>0</v>
      </c>
      <c r="O56" s="73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161">
        <v>0</v>
      </c>
    </row>
    <row r="57" spans="1:71" s="15" customFormat="1" x14ac:dyDescent="0.3">
      <c r="A57" s="53">
        <v>3224</v>
      </c>
      <c r="B57" s="17" t="s">
        <v>27</v>
      </c>
      <c r="C57" s="78">
        <v>2850</v>
      </c>
      <c r="D57" s="78">
        <v>133.6</v>
      </c>
      <c r="E57" s="78">
        <f t="shared" ref="E57:E63" si="5">D57/C57*100</f>
        <v>4.6877192982456135</v>
      </c>
      <c r="F57" s="78">
        <f>7038.17/7.5345</f>
        <v>934.12568849956858</v>
      </c>
      <c r="G57" s="78">
        <f t="shared" si="3"/>
        <v>14.302143881150926</v>
      </c>
      <c r="H57" s="65">
        <v>0</v>
      </c>
      <c r="I57" s="65">
        <v>0</v>
      </c>
      <c r="J57" s="68">
        <v>0</v>
      </c>
      <c r="K57" s="68">
        <v>0</v>
      </c>
      <c r="L57" s="38">
        <v>0</v>
      </c>
      <c r="M57" s="38">
        <v>0</v>
      </c>
      <c r="N57" s="198">
        <v>2850</v>
      </c>
      <c r="O57" s="72">
        <f>O58+O60+O61</f>
        <v>133.6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170">
        <v>0</v>
      </c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</row>
    <row r="58" spans="1:71" s="10" customFormat="1" ht="36.75" x14ac:dyDescent="0.3">
      <c r="A58" s="55">
        <v>32241</v>
      </c>
      <c r="B58" s="21" t="s">
        <v>79</v>
      </c>
      <c r="C58" s="79">
        <v>1500</v>
      </c>
      <c r="D58" s="79">
        <v>31.22</v>
      </c>
      <c r="E58" s="79">
        <f t="shared" si="5"/>
        <v>2.0813333333333333</v>
      </c>
      <c r="F58" s="79">
        <f>1822.77/7.5345</f>
        <v>241.92315349392791</v>
      </c>
      <c r="G58" s="79">
        <f t="shared" si="3"/>
        <v>12.904924373343867</v>
      </c>
      <c r="H58" s="66">
        <v>0</v>
      </c>
      <c r="I58" s="66">
        <v>0</v>
      </c>
      <c r="J58" s="69">
        <v>0</v>
      </c>
      <c r="K58" s="69">
        <v>0</v>
      </c>
      <c r="L58" s="40">
        <v>0</v>
      </c>
      <c r="M58" s="40">
        <v>0</v>
      </c>
      <c r="N58" s="195">
        <v>1500</v>
      </c>
      <c r="O58" s="73">
        <v>31.22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172">
        <v>0</v>
      </c>
    </row>
    <row r="59" spans="1:71" s="10" customFormat="1" ht="36.75" customHeight="1" x14ac:dyDescent="0.3">
      <c r="A59" s="55">
        <v>32242</v>
      </c>
      <c r="B59" s="21" t="s">
        <v>138</v>
      </c>
      <c r="C59" s="79">
        <v>200</v>
      </c>
      <c r="D59" s="79">
        <v>0</v>
      </c>
      <c r="E59" s="79">
        <f t="shared" si="5"/>
        <v>0</v>
      </c>
      <c r="F59" s="79">
        <f>619.72/7.5345</f>
        <v>82.250978830712057</v>
      </c>
      <c r="G59" s="79">
        <f t="shared" si="3"/>
        <v>0</v>
      </c>
      <c r="H59" s="66">
        <v>0</v>
      </c>
      <c r="I59" s="66">
        <v>0</v>
      </c>
      <c r="J59" s="69">
        <v>0</v>
      </c>
      <c r="K59" s="69">
        <v>0</v>
      </c>
      <c r="L59" s="40">
        <v>0</v>
      </c>
      <c r="M59" s="40">
        <v>0</v>
      </c>
      <c r="N59" s="195">
        <v>200</v>
      </c>
      <c r="O59" s="73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172">
        <v>0</v>
      </c>
    </row>
    <row r="60" spans="1:71" s="10" customFormat="1" ht="36.75" customHeight="1" x14ac:dyDescent="0.3">
      <c r="A60" s="55">
        <v>32243</v>
      </c>
      <c r="B60" s="21" t="s">
        <v>157</v>
      </c>
      <c r="C60" s="79">
        <v>150</v>
      </c>
      <c r="D60" s="79">
        <v>2.39</v>
      </c>
      <c r="E60" s="79">
        <f t="shared" si="5"/>
        <v>1.5933333333333335</v>
      </c>
      <c r="F60" s="79">
        <f>289.83/7.5345</f>
        <v>38.467051562811065</v>
      </c>
      <c r="G60" s="79">
        <f t="shared" si="3"/>
        <v>6.2131094089638763</v>
      </c>
      <c r="H60" s="66">
        <v>0</v>
      </c>
      <c r="I60" s="66">
        <v>0</v>
      </c>
      <c r="J60" s="69">
        <v>0</v>
      </c>
      <c r="K60" s="69">
        <v>0</v>
      </c>
      <c r="L60" s="40">
        <v>0</v>
      </c>
      <c r="M60" s="40">
        <v>0</v>
      </c>
      <c r="N60" s="195">
        <v>150</v>
      </c>
      <c r="O60" s="73">
        <v>2.39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172">
        <v>0</v>
      </c>
    </row>
    <row r="61" spans="1:71" s="10" customFormat="1" ht="36.75" x14ac:dyDescent="0.3">
      <c r="A61" s="55">
        <v>32244</v>
      </c>
      <c r="B61" s="21" t="s">
        <v>80</v>
      </c>
      <c r="C61" s="79">
        <v>1000</v>
      </c>
      <c r="D61" s="79">
        <v>99.99</v>
      </c>
      <c r="E61" s="79">
        <f t="shared" si="5"/>
        <v>9.9989999999999988</v>
      </c>
      <c r="F61" s="79">
        <f>4305.85/7.5345</f>
        <v>571.48450461211758</v>
      </c>
      <c r="G61" s="79">
        <f t="shared" si="3"/>
        <v>17.49653738518527</v>
      </c>
      <c r="H61" s="66">
        <v>0</v>
      </c>
      <c r="I61" s="66">
        <v>0</v>
      </c>
      <c r="J61" s="69">
        <v>0</v>
      </c>
      <c r="K61" s="69">
        <v>0</v>
      </c>
      <c r="L61" s="40">
        <v>0</v>
      </c>
      <c r="M61" s="40">
        <v>0</v>
      </c>
      <c r="N61" s="195">
        <v>1000</v>
      </c>
      <c r="O61" s="73">
        <v>99.99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172">
        <v>0</v>
      </c>
    </row>
    <row r="62" spans="1:71" s="15" customFormat="1" x14ac:dyDescent="0.3">
      <c r="A62" s="53">
        <v>3225</v>
      </c>
      <c r="B62" s="17" t="s">
        <v>28</v>
      </c>
      <c r="C62" s="78">
        <v>1500</v>
      </c>
      <c r="D62" s="78">
        <v>18.899999999999999</v>
      </c>
      <c r="E62" s="78">
        <f t="shared" si="5"/>
        <v>1.2599999999999998</v>
      </c>
      <c r="F62" s="78">
        <f>5214.67/7.5345</f>
        <v>692.10564735549804</v>
      </c>
      <c r="G62" s="78">
        <f t="shared" si="3"/>
        <v>2.7307969631827134</v>
      </c>
      <c r="H62" s="65">
        <v>0</v>
      </c>
      <c r="I62" s="65">
        <v>0</v>
      </c>
      <c r="J62" s="68">
        <v>0</v>
      </c>
      <c r="K62" s="68">
        <v>0</v>
      </c>
      <c r="L62" s="38">
        <v>0</v>
      </c>
      <c r="M62" s="38">
        <v>0</v>
      </c>
      <c r="N62" s="198">
        <v>1500</v>
      </c>
      <c r="O62" s="72">
        <f>O63</f>
        <v>18.899999999999999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170">
        <v>0</v>
      </c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</row>
    <row r="63" spans="1:71" x14ac:dyDescent="0.3">
      <c r="A63" s="54">
        <v>32251</v>
      </c>
      <c r="B63" s="19" t="s">
        <v>28</v>
      </c>
      <c r="C63" s="79">
        <v>1500</v>
      </c>
      <c r="D63" s="79">
        <v>18.899999999999999</v>
      </c>
      <c r="E63" s="79">
        <f t="shared" si="5"/>
        <v>1.2599999999999998</v>
      </c>
      <c r="F63" s="79">
        <f>5214.67/7.5345</f>
        <v>692.10564735549804</v>
      </c>
      <c r="G63" s="79">
        <f t="shared" si="3"/>
        <v>2.7307969631827134</v>
      </c>
      <c r="H63" s="37">
        <v>0</v>
      </c>
      <c r="I63" s="37">
        <v>0</v>
      </c>
      <c r="J63" s="41">
        <v>0</v>
      </c>
      <c r="K63" s="41">
        <v>0</v>
      </c>
      <c r="L63" s="41">
        <v>0</v>
      </c>
      <c r="M63" s="41">
        <v>0</v>
      </c>
      <c r="N63" s="195">
        <v>1500</v>
      </c>
      <c r="O63" s="73">
        <v>18.899999999999999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41">
        <v>0</v>
      </c>
      <c r="AD63" s="161">
        <v>0</v>
      </c>
    </row>
    <row r="64" spans="1:71" s="15" customFormat="1" x14ac:dyDescent="0.3">
      <c r="A64" s="53">
        <v>3227</v>
      </c>
      <c r="B64" s="22" t="s">
        <v>50</v>
      </c>
      <c r="C64" s="78">
        <v>400</v>
      </c>
      <c r="D64" s="78">
        <v>0</v>
      </c>
      <c r="E64" s="78">
        <v>0</v>
      </c>
      <c r="F64" s="78">
        <f>1769.21/7.5345</f>
        <v>234.81451987524056</v>
      </c>
      <c r="G64" s="78">
        <f t="shared" si="3"/>
        <v>0</v>
      </c>
      <c r="H64" s="65">
        <v>0</v>
      </c>
      <c r="I64" s="65">
        <v>0</v>
      </c>
      <c r="J64" s="68">
        <v>0</v>
      </c>
      <c r="K64" s="68">
        <v>0</v>
      </c>
      <c r="L64" s="38">
        <v>0</v>
      </c>
      <c r="M64" s="38">
        <v>0</v>
      </c>
      <c r="N64" s="198">
        <v>400</v>
      </c>
      <c r="O64" s="72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170">
        <v>0</v>
      </c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</row>
    <row r="65" spans="1:71" s="10" customFormat="1" ht="19.5" thickBot="1" x14ac:dyDescent="0.35">
      <c r="A65" s="56">
        <v>32271</v>
      </c>
      <c r="B65" s="120" t="s">
        <v>50</v>
      </c>
      <c r="C65" s="77">
        <v>400</v>
      </c>
      <c r="D65" s="77">
        <v>0</v>
      </c>
      <c r="E65" s="77">
        <v>0</v>
      </c>
      <c r="F65" s="77">
        <f>1769.21/7.5345</f>
        <v>234.81451987524056</v>
      </c>
      <c r="G65" s="77">
        <f t="shared" si="3"/>
        <v>0</v>
      </c>
      <c r="H65" s="91">
        <v>0</v>
      </c>
      <c r="I65" s="91">
        <v>0</v>
      </c>
      <c r="J65" s="67">
        <v>0</v>
      </c>
      <c r="K65" s="67">
        <v>0</v>
      </c>
      <c r="L65" s="39">
        <v>0</v>
      </c>
      <c r="M65" s="39">
        <v>0</v>
      </c>
      <c r="N65" s="199">
        <v>400</v>
      </c>
      <c r="O65" s="75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173">
        <v>0</v>
      </c>
    </row>
    <row r="66" spans="1:71" s="11" customFormat="1" ht="19.5" thickBot="1" x14ac:dyDescent="0.35">
      <c r="A66" s="43">
        <v>323</v>
      </c>
      <c r="B66" s="44" t="s">
        <v>3</v>
      </c>
      <c r="C66" s="89">
        <v>113036.54000000001</v>
      </c>
      <c r="D66" s="89">
        <v>43633.73000000001</v>
      </c>
      <c r="E66" s="89">
        <f>D66/C66*100</f>
        <v>38.601438083649768</v>
      </c>
      <c r="F66" s="89">
        <f>360137.26/7.5345</f>
        <v>47798.428561948371</v>
      </c>
      <c r="G66" s="89">
        <f t="shared" si="3"/>
        <v>91.286955058468564</v>
      </c>
      <c r="H66" s="106">
        <v>22100</v>
      </c>
      <c r="I66" s="106">
        <f>I67+I73+I95+I98+I108</f>
        <v>13432.410000000002</v>
      </c>
      <c r="J66" s="122">
        <v>19800</v>
      </c>
      <c r="K66" s="122">
        <f>K67+K83+K89</f>
        <v>10331.290000000001</v>
      </c>
      <c r="L66" s="123">
        <v>0</v>
      </c>
      <c r="M66" s="123">
        <v>0</v>
      </c>
      <c r="N66" s="200">
        <v>58936.54</v>
      </c>
      <c r="O66" s="90">
        <f>O67+O73+O78+O83+O89+O95+O98+O104+O108</f>
        <v>15026.730000000003</v>
      </c>
      <c r="P66" s="123">
        <v>0</v>
      </c>
      <c r="Q66" s="63">
        <v>12200</v>
      </c>
      <c r="R66" s="63">
        <f>R98</f>
        <v>4843.3</v>
      </c>
      <c r="S66" s="123">
        <v>0</v>
      </c>
      <c r="T66" s="123">
        <v>0</v>
      </c>
      <c r="U66" s="123">
        <v>0</v>
      </c>
      <c r="V66" s="123">
        <v>0</v>
      </c>
      <c r="W66" s="123">
        <v>0</v>
      </c>
      <c r="X66" s="123">
        <v>0</v>
      </c>
      <c r="Y66" s="123">
        <v>0</v>
      </c>
      <c r="Z66" s="123">
        <v>0</v>
      </c>
      <c r="AA66" s="123">
        <v>0</v>
      </c>
      <c r="AB66" s="123">
        <v>0</v>
      </c>
      <c r="AC66" s="123">
        <v>0</v>
      </c>
      <c r="AD66" s="174">
        <v>0</v>
      </c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</row>
    <row r="67" spans="1:71" s="15" customFormat="1" x14ac:dyDescent="0.3">
      <c r="A67" s="108">
        <v>3231</v>
      </c>
      <c r="B67" s="121" t="s">
        <v>29</v>
      </c>
      <c r="C67" s="110">
        <v>11800</v>
      </c>
      <c r="D67" s="110">
        <v>5050.17</v>
      </c>
      <c r="E67" s="110">
        <f>D67/C67*100</f>
        <v>42.798050847457631</v>
      </c>
      <c r="F67" s="110">
        <f>35221.67/7.5345</f>
        <v>4674.7189594531819</v>
      </c>
      <c r="G67" s="110">
        <f t="shared" si="3"/>
        <v>108.03152112037846</v>
      </c>
      <c r="H67" s="111">
        <v>2500</v>
      </c>
      <c r="I67" s="111">
        <f>I72</f>
        <v>2500</v>
      </c>
      <c r="J67" s="118">
        <v>1000</v>
      </c>
      <c r="K67" s="118">
        <f>K72</f>
        <v>1000</v>
      </c>
      <c r="L67" s="119">
        <v>0</v>
      </c>
      <c r="M67" s="119">
        <v>0</v>
      </c>
      <c r="N67" s="194">
        <v>8300</v>
      </c>
      <c r="O67" s="114">
        <f>O68+O70+O72</f>
        <v>1550.17</v>
      </c>
      <c r="P67" s="119">
        <v>0</v>
      </c>
      <c r="Q67" s="118">
        <v>0</v>
      </c>
      <c r="R67" s="118">
        <v>0</v>
      </c>
      <c r="S67" s="119">
        <v>0</v>
      </c>
      <c r="T67" s="119">
        <v>0</v>
      </c>
      <c r="U67" s="119">
        <v>0</v>
      </c>
      <c r="V67" s="119">
        <v>0</v>
      </c>
      <c r="W67" s="119">
        <v>0</v>
      </c>
      <c r="X67" s="119">
        <v>0</v>
      </c>
      <c r="Y67" s="119">
        <v>0</v>
      </c>
      <c r="Z67" s="119">
        <v>0</v>
      </c>
      <c r="AA67" s="119">
        <v>0</v>
      </c>
      <c r="AB67" s="119">
        <v>0</v>
      </c>
      <c r="AC67" s="119">
        <v>0</v>
      </c>
      <c r="AD67" s="171">
        <v>0</v>
      </c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</row>
    <row r="68" spans="1:71" x14ac:dyDescent="0.3">
      <c r="A68" s="54">
        <v>32311</v>
      </c>
      <c r="B68" s="18" t="s">
        <v>77</v>
      </c>
      <c r="C68" s="79">
        <v>2600</v>
      </c>
      <c r="D68" s="79">
        <v>1089.52</v>
      </c>
      <c r="E68" s="79">
        <f>D68/C68*100</f>
        <v>41.904615384615383</v>
      </c>
      <c r="F68" s="79">
        <f>8619.24/7.5345</f>
        <v>1143.9697391996813</v>
      </c>
      <c r="G68" s="79">
        <f t="shared" si="3"/>
        <v>95.240281509738693</v>
      </c>
      <c r="H68" s="37">
        <v>0</v>
      </c>
      <c r="I68" s="37">
        <v>0</v>
      </c>
      <c r="J68" s="41">
        <v>0</v>
      </c>
      <c r="K68" s="41">
        <v>0</v>
      </c>
      <c r="L68" s="41">
        <v>0</v>
      </c>
      <c r="M68" s="41">
        <v>0</v>
      </c>
      <c r="N68" s="195">
        <v>2600</v>
      </c>
      <c r="O68" s="73">
        <v>1089.52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41">
        <v>0</v>
      </c>
      <c r="AC68" s="41">
        <v>0</v>
      </c>
      <c r="AD68" s="161">
        <v>0</v>
      </c>
    </row>
    <row r="69" spans="1:71" x14ac:dyDescent="0.3">
      <c r="A69" s="54">
        <v>32312</v>
      </c>
      <c r="B69" s="18" t="s">
        <v>123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37">
        <v>0</v>
      </c>
      <c r="I69" s="37">
        <v>0</v>
      </c>
      <c r="J69" s="41">
        <v>0</v>
      </c>
      <c r="K69" s="41">
        <v>0</v>
      </c>
      <c r="L69" s="41">
        <v>0</v>
      </c>
      <c r="M69" s="41">
        <v>0</v>
      </c>
      <c r="N69" s="195">
        <v>0</v>
      </c>
      <c r="O69" s="73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161">
        <v>0</v>
      </c>
    </row>
    <row r="70" spans="1:71" x14ac:dyDescent="0.3">
      <c r="A70" s="54">
        <v>32313</v>
      </c>
      <c r="B70" s="18" t="s">
        <v>78</v>
      </c>
      <c r="C70" s="79">
        <v>700</v>
      </c>
      <c r="D70" s="79">
        <v>160.65</v>
      </c>
      <c r="E70" s="79">
        <f>D70/C70*100</f>
        <v>22.95</v>
      </c>
      <c r="F70" s="79">
        <f>1396.43/7.5345</f>
        <v>185.33811135443625</v>
      </c>
      <c r="G70" s="79">
        <f t="shared" si="3"/>
        <v>86.679420021053701</v>
      </c>
      <c r="H70" s="37">
        <v>0</v>
      </c>
      <c r="I70" s="37">
        <v>0</v>
      </c>
      <c r="J70" s="41">
        <v>0</v>
      </c>
      <c r="K70" s="41">
        <v>0</v>
      </c>
      <c r="L70" s="41">
        <v>0</v>
      </c>
      <c r="M70" s="41">
        <v>0</v>
      </c>
      <c r="N70" s="195">
        <v>700</v>
      </c>
      <c r="O70" s="73">
        <v>160.65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161">
        <v>0</v>
      </c>
    </row>
    <row r="71" spans="1:71" x14ac:dyDescent="0.3">
      <c r="A71" s="54">
        <v>32314</v>
      </c>
      <c r="B71" s="18" t="s">
        <v>122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37">
        <v>0</v>
      </c>
      <c r="I71" s="37">
        <v>0</v>
      </c>
      <c r="J71" s="41">
        <v>0</v>
      </c>
      <c r="K71" s="41">
        <v>0</v>
      </c>
      <c r="L71" s="41">
        <v>0</v>
      </c>
      <c r="M71" s="41">
        <v>0</v>
      </c>
      <c r="N71" s="195">
        <v>0</v>
      </c>
      <c r="O71" s="73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161">
        <v>0</v>
      </c>
    </row>
    <row r="72" spans="1:71" x14ac:dyDescent="0.3">
      <c r="A72" s="54">
        <v>32319</v>
      </c>
      <c r="B72" s="18" t="s">
        <v>121</v>
      </c>
      <c r="C72" s="79">
        <v>8500</v>
      </c>
      <c r="D72" s="79">
        <v>3800</v>
      </c>
      <c r="E72" s="79">
        <f t="shared" ref="E72:E86" si="6">D72/C72*100</f>
        <v>44.705882352941181</v>
      </c>
      <c r="F72" s="79">
        <f>25206/7.5345</f>
        <v>3345.4111088990639</v>
      </c>
      <c r="G72" s="79">
        <f t="shared" si="3"/>
        <v>113.58843132587479</v>
      </c>
      <c r="H72" s="37">
        <v>2500</v>
      </c>
      <c r="I72" s="37">
        <v>2500</v>
      </c>
      <c r="J72" s="41">
        <v>1000</v>
      </c>
      <c r="K72" s="41">
        <v>1000</v>
      </c>
      <c r="L72" s="41">
        <v>0</v>
      </c>
      <c r="M72" s="41">
        <v>0</v>
      </c>
      <c r="N72" s="195">
        <v>5000</v>
      </c>
      <c r="O72" s="73">
        <v>300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41">
        <v>0</v>
      </c>
      <c r="AD72" s="161">
        <v>0</v>
      </c>
    </row>
    <row r="73" spans="1:71" s="15" customFormat="1" x14ac:dyDescent="0.3">
      <c r="A73" s="53">
        <v>3232</v>
      </c>
      <c r="B73" s="16" t="s">
        <v>30</v>
      </c>
      <c r="C73" s="78">
        <v>11200</v>
      </c>
      <c r="D73" s="78">
        <v>2337.79</v>
      </c>
      <c r="E73" s="78">
        <f t="shared" si="6"/>
        <v>20.873125000000002</v>
      </c>
      <c r="F73" s="78">
        <f>26454.67/7.5345</f>
        <v>3511.138098082155</v>
      </c>
      <c r="G73" s="78">
        <f t="shared" ref="G73:G104" si="7">D73/F73*100</f>
        <v>66.582114821315102</v>
      </c>
      <c r="H73" s="65">
        <v>4500</v>
      </c>
      <c r="I73" s="65">
        <f>I75</f>
        <v>1699.7</v>
      </c>
      <c r="J73" s="68">
        <v>0</v>
      </c>
      <c r="K73" s="68">
        <v>0</v>
      </c>
      <c r="L73" s="38">
        <v>0</v>
      </c>
      <c r="M73" s="38">
        <v>0</v>
      </c>
      <c r="N73" s="198">
        <v>6500</v>
      </c>
      <c r="O73" s="72">
        <f>O74+O75</f>
        <v>638.08999999999992</v>
      </c>
      <c r="P73" s="38">
        <v>0</v>
      </c>
      <c r="Q73" s="68">
        <v>200</v>
      </c>
      <c r="R73" s="6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170">
        <v>0</v>
      </c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</row>
    <row r="74" spans="1:71" s="10" customFormat="1" x14ac:dyDescent="0.3">
      <c r="A74" s="55">
        <v>32321</v>
      </c>
      <c r="B74" s="20" t="s">
        <v>83</v>
      </c>
      <c r="C74" s="79">
        <v>800</v>
      </c>
      <c r="D74" s="79">
        <v>196.63</v>
      </c>
      <c r="E74" s="79">
        <f t="shared" si="6"/>
        <v>24.578749999999999</v>
      </c>
      <c r="F74" s="79">
        <v>0</v>
      </c>
      <c r="G74" s="79">
        <v>0</v>
      </c>
      <c r="H74" s="66">
        <v>0</v>
      </c>
      <c r="I74" s="66">
        <v>0</v>
      </c>
      <c r="J74" s="69">
        <v>0</v>
      </c>
      <c r="K74" s="69">
        <v>0</v>
      </c>
      <c r="L74" s="40">
        <v>0</v>
      </c>
      <c r="M74" s="40">
        <v>0</v>
      </c>
      <c r="N74" s="195">
        <v>800</v>
      </c>
      <c r="O74" s="73">
        <v>196.63</v>
      </c>
      <c r="P74" s="40">
        <v>0</v>
      </c>
      <c r="Q74" s="69">
        <v>0</v>
      </c>
      <c r="R74" s="69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172">
        <v>0</v>
      </c>
    </row>
    <row r="75" spans="1:71" s="10" customFormat="1" x14ac:dyDescent="0.3">
      <c r="A75" s="55">
        <v>32322</v>
      </c>
      <c r="B75" s="20" t="s">
        <v>84</v>
      </c>
      <c r="C75" s="79">
        <v>8700</v>
      </c>
      <c r="D75" s="79">
        <v>2141.16</v>
      </c>
      <c r="E75" s="79">
        <f t="shared" si="6"/>
        <v>24.611034482758619</v>
      </c>
      <c r="F75" s="79">
        <f>18622.74/7.5345</f>
        <v>2471.6623531753935</v>
      </c>
      <c r="G75" s="79">
        <f t="shared" si="7"/>
        <v>86.628337290860514</v>
      </c>
      <c r="H75" s="66">
        <v>4500</v>
      </c>
      <c r="I75" s="66">
        <v>1699.7</v>
      </c>
      <c r="J75" s="69">
        <v>0</v>
      </c>
      <c r="K75" s="69">
        <v>0</v>
      </c>
      <c r="L75" s="40">
        <v>0</v>
      </c>
      <c r="M75" s="40">
        <v>0</v>
      </c>
      <c r="N75" s="195">
        <v>4000</v>
      </c>
      <c r="O75" s="73">
        <v>441.46</v>
      </c>
      <c r="P75" s="40">
        <v>0</v>
      </c>
      <c r="Q75" s="69">
        <v>200</v>
      </c>
      <c r="R75" s="69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172">
        <v>0</v>
      </c>
    </row>
    <row r="76" spans="1:71" s="10" customFormat="1" x14ac:dyDescent="0.3">
      <c r="A76" s="55">
        <v>32323</v>
      </c>
      <c r="B76" s="20" t="s">
        <v>85</v>
      </c>
      <c r="C76" s="79">
        <v>700</v>
      </c>
      <c r="D76" s="79">
        <v>0</v>
      </c>
      <c r="E76" s="79">
        <f t="shared" si="6"/>
        <v>0</v>
      </c>
      <c r="F76" s="79">
        <f>3431.93/7.5345</f>
        <v>455.49538788240756</v>
      </c>
      <c r="G76" s="79">
        <f t="shared" si="7"/>
        <v>0</v>
      </c>
      <c r="H76" s="40">
        <v>0</v>
      </c>
      <c r="I76" s="40">
        <v>0</v>
      </c>
      <c r="J76" s="69">
        <v>0</v>
      </c>
      <c r="K76" s="69">
        <v>0</v>
      </c>
      <c r="L76" s="40">
        <v>0</v>
      </c>
      <c r="M76" s="40">
        <v>0</v>
      </c>
      <c r="N76" s="195">
        <v>700</v>
      </c>
      <c r="O76" s="73">
        <v>0</v>
      </c>
      <c r="P76" s="40">
        <v>0</v>
      </c>
      <c r="Q76" s="69">
        <v>0</v>
      </c>
      <c r="R76" s="69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172">
        <v>0</v>
      </c>
    </row>
    <row r="77" spans="1:71" s="10" customFormat="1" x14ac:dyDescent="0.3">
      <c r="A77" s="55">
        <v>32329</v>
      </c>
      <c r="B77" s="20" t="s">
        <v>126</v>
      </c>
      <c r="C77" s="79">
        <v>1000</v>
      </c>
      <c r="D77" s="79">
        <v>0</v>
      </c>
      <c r="E77" s="79">
        <f t="shared" si="6"/>
        <v>0</v>
      </c>
      <c r="F77" s="79">
        <f>4400/7.5345</f>
        <v>583.98035702435459</v>
      </c>
      <c r="G77" s="79">
        <f t="shared" si="7"/>
        <v>0</v>
      </c>
      <c r="H77" s="40">
        <v>0</v>
      </c>
      <c r="I77" s="40">
        <v>0</v>
      </c>
      <c r="J77" s="69">
        <v>0</v>
      </c>
      <c r="K77" s="69">
        <v>0</v>
      </c>
      <c r="L77" s="40">
        <v>0</v>
      </c>
      <c r="M77" s="40">
        <v>0</v>
      </c>
      <c r="N77" s="195">
        <v>1000</v>
      </c>
      <c r="O77" s="73">
        <v>0</v>
      </c>
      <c r="P77" s="40">
        <v>0</v>
      </c>
      <c r="Q77" s="69">
        <v>0</v>
      </c>
      <c r="R77" s="69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  <c r="AC77" s="40">
        <v>0</v>
      </c>
      <c r="AD77" s="172">
        <v>0</v>
      </c>
    </row>
    <row r="78" spans="1:71" s="15" customFormat="1" x14ac:dyDescent="0.3">
      <c r="A78" s="53">
        <v>3233</v>
      </c>
      <c r="B78" s="16" t="s">
        <v>31</v>
      </c>
      <c r="C78" s="78">
        <v>7700</v>
      </c>
      <c r="D78" s="78">
        <v>2314.8200000000002</v>
      </c>
      <c r="E78" s="78">
        <f t="shared" si="6"/>
        <v>30.062597402597408</v>
      </c>
      <c r="F78" s="78">
        <f>28650/7.5345</f>
        <v>3802.5084610790364</v>
      </c>
      <c r="G78" s="78">
        <f t="shared" si="7"/>
        <v>60.876130157068062</v>
      </c>
      <c r="H78" s="38">
        <v>0</v>
      </c>
      <c r="I78" s="38">
        <v>0</v>
      </c>
      <c r="J78" s="68">
        <v>0</v>
      </c>
      <c r="K78" s="68">
        <v>0</v>
      </c>
      <c r="L78" s="38">
        <v>0</v>
      </c>
      <c r="M78" s="38">
        <v>0</v>
      </c>
      <c r="N78" s="198">
        <v>7700</v>
      </c>
      <c r="O78" s="72">
        <f>O79+O80+O81+O82</f>
        <v>2314.8200000000002</v>
      </c>
      <c r="P78" s="38">
        <v>0</v>
      </c>
      <c r="Q78" s="68">
        <v>0</v>
      </c>
      <c r="R78" s="6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0</v>
      </c>
      <c r="AD78" s="170">
        <v>0</v>
      </c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</row>
    <row r="79" spans="1:71" s="10" customFormat="1" x14ac:dyDescent="0.3">
      <c r="A79" s="55">
        <v>32331</v>
      </c>
      <c r="B79" s="20" t="s">
        <v>135</v>
      </c>
      <c r="C79" s="79">
        <v>2500</v>
      </c>
      <c r="D79" s="79">
        <v>638.16</v>
      </c>
      <c r="E79" s="79">
        <f t="shared" si="6"/>
        <v>25.526399999999999</v>
      </c>
      <c r="F79" s="79">
        <f>11375/7.5345</f>
        <v>1509.7219457163712</v>
      </c>
      <c r="G79" s="79">
        <f t="shared" si="7"/>
        <v>42.270035340659341</v>
      </c>
      <c r="H79" s="40">
        <v>0</v>
      </c>
      <c r="I79" s="40">
        <v>0</v>
      </c>
      <c r="J79" s="69">
        <v>0</v>
      </c>
      <c r="K79" s="69">
        <v>0</v>
      </c>
      <c r="L79" s="40">
        <v>0</v>
      </c>
      <c r="M79" s="40">
        <v>0</v>
      </c>
      <c r="N79" s="201">
        <v>2500</v>
      </c>
      <c r="O79" s="74">
        <v>638.16</v>
      </c>
      <c r="P79" s="40">
        <v>0</v>
      </c>
      <c r="Q79" s="69">
        <v>0</v>
      </c>
      <c r="R79" s="69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  <c r="AC79" s="40">
        <v>0</v>
      </c>
      <c r="AD79" s="172">
        <v>0</v>
      </c>
    </row>
    <row r="80" spans="1:71" x14ac:dyDescent="0.3">
      <c r="A80" s="54">
        <v>32332</v>
      </c>
      <c r="B80" s="18" t="s">
        <v>81</v>
      </c>
      <c r="C80" s="79">
        <v>200</v>
      </c>
      <c r="D80" s="79">
        <v>52</v>
      </c>
      <c r="E80" s="79">
        <f t="shared" si="6"/>
        <v>26</v>
      </c>
      <c r="F80" s="79">
        <f>390/7.5345</f>
        <v>51.761895281704156</v>
      </c>
      <c r="G80" s="79">
        <f t="shared" si="7"/>
        <v>100.46000000000002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195">
        <v>200</v>
      </c>
      <c r="O80" s="73">
        <v>52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161">
        <v>0</v>
      </c>
    </row>
    <row r="81" spans="1:71" x14ac:dyDescent="0.3">
      <c r="A81" s="54">
        <v>32334</v>
      </c>
      <c r="B81" s="18" t="s">
        <v>136</v>
      </c>
      <c r="C81" s="79">
        <v>2500</v>
      </c>
      <c r="D81" s="79">
        <v>1024.6600000000001</v>
      </c>
      <c r="E81" s="79">
        <f t="shared" si="6"/>
        <v>40.986400000000003</v>
      </c>
      <c r="F81" s="79">
        <f>6325/7.5345</f>
        <v>839.47176322250971</v>
      </c>
      <c r="G81" s="79">
        <f t="shared" si="7"/>
        <v>122.06009122529646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195">
        <v>2500</v>
      </c>
      <c r="O81" s="73">
        <v>1024.6600000000001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161">
        <v>0</v>
      </c>
    </row>
    <row r="82" spans="1:71" x14ac:dyDescent="0.3">
      <c r="A82" s="54">
        <v>32339</v>
      </c>
      <c r="B82" s="18" t="s">
        <v>82</v>
      </c>
      <c r="C82" s="79">
        <v>2500</v>
      </c>
      <c r="D82" s="79">
        <v>600</v>
      </c>
      <c r="E82" s="79">
        <f t="shared" si="6"/>
        <v>24</v>
      </c>
      <c r="F82" s="79">
        <f>10560/7.5345</f>
        <v>1401.5528568584512</v>
      </c>
      <c r="G82" s="79">
        <f t="shared" si="7"/>
        <v>42.809659090909093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195">
        <v>2500</v>
      </c>
      <c r="O82" s="73">
        <v>600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161">
        <v>0</v>
      </c>
    </row>
    <row r="83" spans="1:71" s="15" customFormat="1" x14ac:dyDescent="0.3">
      <c r="A83" s="53">
        <v>3234</v>
      </c>
      <c r="B83" s="16" t="s">
        <v>32</v>
      </c>
      <c r="C83" s="78">
        <v>10600</v>
      </c>
      <c r="D83" s="78">
        <v>4072.2999999999997</v>
      </c>
      <c r="E83" s="78">
        <f t="shared" si="6"/>
        <v>38.417924528301882</v>
      </c>
      <c r="F83" s="78">
        <f>32595.05/7.5345</f>
        <v>4326.1065764151563</v>
      </c>
      <c r="G83" s="78">
        <f t="shared" si="7"/>
        <v>94.133140921704367</v>
      </c>
      <c r="H83" s="38">
        <v>0</v>
      </c>
      <c r="I83" s="38">
        <v>0</v>
      </c>
      <c r="J83" s="68">
        <v>8000</v>
      </c>
      <c r="K83" s="68">
        <f>K84+K88</f>
        <v>3753.7</v>
      </c>
      <c r="L83" s="38">
        <v>0</v>
      </c>
      <c r="M83" s="38">
        <v>0</v>
      </c>
      <c r="N83" s="198">
        <v>2600</v>
      </c>
      <c r="O83" s="72">
        <f>O85+O86</f>
        <v>318.60000000000002</v>
      </c>
      <c r="P83" s="38">
        <v>0</v>
      </c>
      <c r="Q83" s="68">
        <v>0</v>
      </c>
      <c r="R83" s="6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0</v>
      </c>
      <c r="AD83" s="170">
        <v>0</v>
      </c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</row>
    <row r="84" spans="1:71" s="10" customFormat="1" x14ac:dyDescent="0.3">
      <c r="A84" s="55">
        <v>32341</v>
      </c>
      <c r="B84" s="20" t="s">
        <v>86</v>
      </c>
      <c r="C84" s="79">
        <v>2000</v>
      </c>
      <c r="D84" s="79">
        <v>707.02</v>
      </c>
      <c r="E84" s="79">
        <f t="shared" si="6"/>
        <v>35.350999999999999</v>
      </c>
      <c r="F84" s="79">
        <f>5174.38/7.5345</f>
        <v>686.75824540447275</v>
      </c>
      <c r="G84" s="79">
        <f t="shared" si="7"/>
        <v>102.95034748124412</v>
      </c>
      <c r="H84" s="40">
        <v>0</v>
      </c>
      <c r="I84" s="40">
        <v>0</v>
      </c>
      <c r="J84" s="69">
        <v>1500</v>
      </c>
      <c r="K84" s="69">
        <v>707.02</v>
      </c>
      <c r="L84" s="40">
        <v>0</v>
      </c>
      <c r="M84" s="40">
        <v>0</v>
      </c>
      <c r="N84" s="195">
        <v>500</v>
      </c>
      <c r="O84" s="73">
        <v>0</v>
      </c>
      <c r="P84" s="40">
        <v>0</v>
      </c>
      <c r="Q84" s="69">
        <v>0</v>
      </c>
      <c r="R84" s="69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  <c r="AC84" s="40">
        <v>0</v>
      </c>
      <c r="AD84" s="172">
        <v>0</v>
      </c>
    </row>
    <row r="85" spans="1:71" s="10" customFormat="1" x14ac:dyDescent="0.3">
      <c r="A85" s="55">
        <v>32342</v>
      </c>
      <c r="B85" s="20" t="s">
        <v>87</v>
      </c>
      <c r="C85" s="79">
        <v>800</v>
      </c>
      <c r="D85" s="79">
        <v>231.1</v>
      </c>
      <c r="E85" s="79">
        <f t="shared" si="6"/>
        <v>28.887499999999999</v>
      </c>
      <c r="F85" s="79">
        <f>1057.91/7.5345</f>
        <v>140.40878624991706</v>
      </c>
      <c r="G85" s="79">
        <f t="shared" si="7"/>
        <v>164.59083948540047</v>
      </c>
      <c r="H85" s="40">
        <v>0</v>
      </c>
      <c r="I85" s="40">
        <v>0</v>
      </c>
      <c r="J85" s="69">
        <v>0</v>
      </c>
      <c r="K85" s="69">
        <v>0</v>
      </c>
      <c r="L85" s="40">
        <v>0</v>
      </c>
      <c r="M85" s="40">
        <v>0</v>
      </c>
      <c r="N85" s="195">
        <v>800</v>
      </c>
      <c r="O85" s="73">
        <v>231.1</v>
      </c>
      <c r="P85" s="40">
        <v>0</v>
      </c>
      <c r="Q85" s="69">
        <v>0</v>
      </c>
      <c r="R85" s="69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  <c r="AC85" s="40">
        <v>0</v>
      </c>
      <c r="AD85" s="172">
        <v>0</v>
      </c>
    </row>
    <row r="86" spans="1:71" s="10" customFormat="1" x14ac:dyDescent="0.3">
      <c r="A86" s="55">
        <v>32343</v>
      </c>
      <c r="B86" s="20" t="s">
        <v>88</v>
      </c>
      <c r="C86" s="79">
        <v>300</v>
      </c>
      <c r="D86" s="79">
        <v>87.5</v>
      </c>
      <c r="E86" s="79">
        <f t="shared" si="6"/>
        <v>29.166666666666668</v>
      </c>
      <c r="F86" s="79">
        <v>0</v>
      </c>
      <c r="G86" s="79">
        <v>0</v>
      </c>
      <c r="H86" s="40">
        <v>0</v>
      </c>
      <c r="I86" s="40">
        <v>0</v>
      </c>
      <c r="J86" s="69">
        <v>0</v>
      </c>
      <c r="K86" s="69">
        <v>0</v>
      </c>
      <c r="L86" s="40">
        <v>0</v>
      </c>
      <c r="M86" s="40">
        <v>0</v>
      </c>
      <c r="N86" s="195">
        <v>300</v>
      </c>
      <c r="O86" s="73">
        <v>87.5</v>
      </c>
      <c r="P86" s="40">
        <v>0</v>
      </c>
      <c r="Q86" s="69">
        <v>0</v>
      </c>
      <c r="R86" s="69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  <c r="AC86" s="40">
        <v>0</v>
      </c>
      <c r="AD86" s="172">
        <v>0</v>
      </c>
    </row>
    <row r="87" spans="1:71" s="10" customFormat="1" x14ac:dyDescent="0.3">
      <c r="A87" s="55">
        <v>32344</v>
      </c>
      <c r="B87" s="20" t="s">
        <v>89</v>
      </c>
      <c r="C87" s="79">
        <v>0</v>
      </c>
      <c r="D87" s="79">
        <v>0</v>
      </c>
      <c r="E87" s="79">
        <v>0</v>
      </c>
      <c r="F87" s="79">
        <v>0</v>
      </c>
      <c r="G87" s="79">
        <v>0</v>
      </c>
      <c r="H87" s="40">
        <v>0</v>
      </c>
      <c r="I87" s="40">
        <v>0</v>
      </c>
      <c r="J87" s="69">
        <v>0</v>
      </c>
      <c r="K87" s="69">
        <v>0</v>
      </c>
      <c r="L87" s="40">
        <v>0</v>
      </c>
      <c r="M87" s="40">
        <v>0</v>
      </c>
      <c r="N87" s="195">
        <v>0</v>
      </c>
      <c r="O87" s="73">
        <v>0</v>
      </c>
      <c r="P87" s="40">
        <v>0</v>
      </c>
      <c r="Q87" s="69">
        <v>0</v>
      </c>
      <c r="R87" s="69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  <c r="AC87" s="40">
        <v>0</v>
      </c>
      <c r="AD87" s="172">
        <v>0</v>
      </c>
    </row>
    <row r="88" spans="1:71" s="10" customFormat="1" x14ac:dyDescent="0.3">
      <c r="A88" s="55">
        <v>32349</v>
      </c>
      <c r="B88" s="20" t="s">
        <v>90</v>
      </c>
      <c r="C88" s="79">
        <v>7500</v>
      </c>
      <c r="D88" s="79">
        <v>3046.68</v>
      </c>
      <c r="E88" s="79">
        <f t="shared" ref="E88:E98" si="8">D88/C88*100</f>
        <v>40.622399999999999</v>
      </c>
      <c r="F88" s="79">
        <f>26362.76/7.5345</f>
        <v>3498.9395447607667</v>
      </c>
      <c r="G88" s="79">
        <f t="shared" si="7"/>
        <v>87.07438242429852</v>
      </c>
      <c r="H88" s="40">
        <v>0</v>
      </c>
      <c r="I88" s="40">
        <v>0</v>
      </c>
      <c r="J88" s="69">
        <v>6500</v>
      </c>
      <c r="K88" s="69">
        <v>3046.68</v>
      </c>
      <c r="L88" s="40">
        <v>0</v>
      </c>
      <c r="M88" s="40">
        <v>0</v>
      </c>
      <c r="N88" s="195">
        <v>1000</v>
      </c>
      <c r="O88" s="73">
        <v>0</v>
      </c>
      <c r="P88" s="40">
        <v>0</v>
      </c>
      <c r="Q88" s="69">
        <v>0</v>
      </c>
      <c r="R88" s="69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  <c r="AC88" s="40">
        <v>0</v>
      </c>
      <c r="AD88" s="172">
        <v>0</v>
      </c>
    </row>
    <row r="89" spans="1:71" s="15" customFormat="1" x14ac:dyDescent="0.3">
      <c r="A89" s="53">
        <v>3235</v>
      </c>
      <c r="B89" s="16" t="s">
        <v>52</v>
      </c>
      <c r="C89" s="78">
        <v>21800</v>
      </c>
      <c r="D89" s="78">
        <v>10481.580000000002</v>
      </c>
      <c r="E89" s="78">
        <f t="shared" si="8"/>
        <v>48.08064220183487</v>
      </c>
      <c r="F89" s="78">
        <f>78246.26/7.5345</f>
        <v>10385.063375141017</v>
      </c>
      <c r="G89" s="78">
        <f t="shared" si="7"/>
        <v>100.92937925723227</v>
      </c>
      <c r="H89" s="38">
        <v>0</v>
      </c>
      <c r="I89" s="38">
        <v>0</v>
      </c>
      <c r="J89" s="68">
        <v>10800</v>
      </c>
      <c r="K89" s="68">
        <f>K90+K91</f>
        <v>5577.59</v>
      </c>
      <c r="L89" s="38">
        <v>0</v>
      </c>
      <c r="M89" s="38">
        <v>0</v>
      </c>
      <c r="N89" s="198">
        <v>11000</v>
      </c>
      <c r="O89" s="72">
        <f>O90+O91+O92+O93+O94</f>
        <v>4903.9900000000007</v>
      </c>
      <c r="P89" s="38">
        <v>0</v>
      </c>
      <c r="Q89" s="68">
        <v>0</v>
      </c>
      <c r="R89" s="6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170">
        <v>0</v>
      </c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</row>
    <row r="90" spans="1:71" x14ac:dyDescent="0.3">
      <c r="A90" s="54">
        <v>32352</v>
      </c>
      <c r="B90" s="18" t="s">
        <v>91</v>
      </c>
      <c r="C90" s="79">
        <v>12500</v>
      </c>
      <c r="D90" s="79">
        <v>5932.59</v>
      </c>
      <c r="E90" s="79">
        <f t="shared" si="8"/>
        <v>47.460720000000002</v>
      </c>
      <c r="F90" s="79">
        <f>40000/7.5345</f>
        <v>5308.9123365850419</v>
      </c>
      <c r="G90" s="79">
        <f t="shared" si="7"/>
        <v>111.74774838750001</v>
      </c>
      <c r="H90" s="41">
        <v>0</v>
      </c>
      <c r="I90" s="41">
        <v>0</v>
      </c>
      <c r="J90" s="41">
        <v>10000</v>
      </c>
      <c r="K90" s="41">
        <v>4777.59</v>
      </c>
      <c r="L90" s="41">
        <v>0</v>
      </c>
      <c r="M90" s="41">
        <v>0</v>
      </c>
      <c r="N90" s="195">
        <v>2500</v>
      </c>
      <c r="O90" s="73">
        <v>1155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41">
        <v>0</v>
      </c>
      <c r="AD90" s="161">
        <v>0</v>
      </c>
    </row>
    <row r="91" spans="1:71" x14ac:dyDescent="0.3">
      <c r="A91" s="54">
        <v>32353</v>
      </c>
      <c r="B91" s="18" t="s">
        <v>92</v>
      </c>
      <c r="C91" s="79">
        <v>2500</v>
      </c>
      <c r="D91" s="79">
        <v>2468.3900000000003</v>
      </c>
      <c r="E91" s="79">
        <f t="shared" si="8"/>
        <v>98.735600000000005</v>
      </c>
      <c r="F91" s="79">
        <f>18750/7.5345</f>
        <v>2488.5526577742385</v>
      </c>
      <c r="G91" s="79">
        <f t="shared" si="7"/>
        <v>99.189783760000012</v>
      </c>
      <c r="H91" s="41">
        <v>0</v>
      </c>
      <c r="I91" s="41">
        <v>0</v>
      </c>
      <c r="J91" s="41">
        <v>800</v>
      </c>
      <c r="K91" s="41">
        <v>800</v>
      </c>
      <c r="L91" s="41">
        <v>0</v>
      </c>
      <c r="M91" s="41">
        <v>0</v>
      </c>
      <c r="N91" s="195">
        <v>1700</v>
      </c>
      <c r="O91" s="73">
        <v>1668.39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161">
        <v>0</v>
      </c>
    </row>
    <row r="92" spans="1:71" x14ac:dyDescent="0.3">
      <c r="A92" s="54">
        <v>32354</v>
      </c>
      <c r="B92" s="18" t="s">
        <v>141</v>
      </c>
      <c r="C92" s="79">
        <v>1200</v>
      </c>
      <c r="D92" s="79">
        <v>256.19</v>
      </c>
      <c r="E92" s="79">
        <f t="shared" si="8"/>
        <v>21.349166666666665</v>
      </c>
      <c r="F92" s="79">
        <v>0</v>
      </c>
      <c r="G92" s="79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195">
        <v>1200</v>
      </c>
      <c r="O92" s="73">
        <v>256.19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161">
        <v>0</v>
      </c>
    </row>
    <row r="93" spans="1:71" ht="36.75" x14ac:dyDescent="0.3">
      <c r="A93" s="54">
        <v>32355</v>
      </c>
      <c r="B93" s="19" t="s">
        <v>124</v>
      </c>
      <c r="C93" s="79">
        <v>4000</v>
      </c>
      <c r="D93" s="79">
        <v>1267.9100000000001</v>
      </c>
      <c r="E93" s="79">
        <f t="shared" si="8"/>
        <v>31.697750000000003</v>
      </c>
      <c r="F93" s="79">
        <f>15496.26/7.5345</f>
        <v>2056.707147123233</v>
      </c>
      <c r="G93" s="79">
        <f t="shared" si="7"/>
        <v>61.647571059081365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195">
        <v>4000</v>
      </c>
      <c r="O93" s="73">
        <v>1267.9100000000001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161">
        <v>0</v>
      </c>
    </row>
    <row r="94" spans="1:71" x14ac:dyDescent="0.3">
      <c r="A94" s="54">
        <v>32359</v>
      </c>
      <c r="B94" s="18" t="s">
        <v>120</v>
      </c>
      <c r="C94" s="79">
        <v>1600</v>
      </c>
      <c r="D94" s="79">
        <v>556.5</v>
      </c>
      <c r="E94" s="79">
        <f t="shared" si="8"/>
        <v>34.78125</v>
      </c>
      <c r="F94" s="79">
        <f>4000/7.5345</f>
        <v>530.89123365850423</v>
      </c>
      <c r="G94" s="79">
        <f t="shared" si="7"/>
        <v>104.82373124999999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195">
        <v>1600</v>
      </c>
      <c r="O94" s="73">
        <v>556.5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161">
        <v>0</v>
      </c>
    </row>
    <row r="95" spans="1:71" s="15" customFormat="1" x14ac:dyDescent="0.3">
      <c r="A95" s="53">
        <v>3236</v>
      </c>
      <c r="B95" s="16" t="s">
        <v>33</v>
      </c>
      <c r="C95" s="78">
        <v>6600</v>
      </c>
      <c r="D95" s="78">
        <v>6370.8</v>
      </c>
      <c r="E95" s="78">
        <f t="shared" si="8"/>
        <v>96.527272727272731</v>
      </c>
      <c r="F95" s="78">
        <f>15755/7.5345</f>
        <v>2091.0478465724332</v>
      </c>
      <c r="G95" s="78">
        <f t="shared" si="7"/>
        <v>304.67021643922567</v>
      </c>
      <c r="H95" s="38">
        <v>4100</v>
      </c>
      <c r="I95" s="38">
        <f>I96</f>
        <v>4100</v>
      </c>
      <c r="J95" s="68">
        <v>0</v>
      </c>
      <c r="K95" s="68">
        <v>0</v>
      </c>
      <c r="L95" s="38">
        <v>0</v>
      </c>
      <c r="M95" s="38">
        <v>0</v>
      </c>
      <c r="N95" s="198">
        <v>2500</v>
      </c>
      <c r="O95" s="72">
        <f>O96</f>
        <v>2270.8000000000002</v>
      </c>
      <c r="P95" s="38">
        <v>0</v>
      </c>
      <c r="Q95" s="68">
        <v>0</v>
      </c>
      <c r="R95" s="6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170">
        <v>0</v>
      </c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</row>
    <row r="96" spans="1:71" x14ac:dyDescent="0.3">
      <c r="A96" s="54">
        <v>32361</v>
      </c>
      <c r="B96" s="18" t="s">
        <v>93</v>
      </c>
      <c r="C96" s="79">
        <v>6600</v>
      </c>
      <c r="D96" s="79">
        <v>6370.8</v>
      </c>
      <c r="E96" s="79">
        <f t="shared" si="8"/>
        <v>96.527272727272731</v>
      </c>
      <c r="F96" s="79">
        <f>5835/7.5345</f>
        <v>774.43758709934298</v>
      </c>
      <c r="G96" s="79">
        <f t="shared" si="7"/>
        <v>822.63569151670947</v>
      </c>
      <c r="H96" s="41">
        <v>4100</v>
      </c>
      <c r="I96" s="41">
        <v>4100</v>
      </c>
      <c r="J96" s="41">
        <v>0</v>
      </c>
      <c r="K96" s="41">
        <v>0</v>
      </c>
      <c r="L96" s="41">
        <v>0</v>
      </c>
      <c r="M96" s="41">
        <v>0</v>
      </c>
      <c r="N96" s="195">
        <v>2500</v>
      </c>
      <c r="O96" s="73">
        <v>2270.8000000000002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41">
        <v>0</v>
      </c>
      <c r="AD96" s="161">
        <v>0</v>
      </c>
    </row>
    <row r="97" spans="1:71" x14ac:dyDescent="0.3">
      <c r="A97" s="93">
        <v>32363</v>
      </c>
      <c r="B97" s="94" t="s">
        <v>164</v>
      </c>
      <c r="C97" s="79">
        <v>0</v>
      </c>
      <c r="D97" s="79">
        <v>0</v>
      </c>
      <c r="E97" s="79">
        <v>0</v>
      </c>
      <c r="F97" s="79">
        <f>9920/7.5345</f>
        <v>1316.6102594730903</v>
      </c>
      <c r="G97" s="79">
        <f t="shared" si="7"/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195">
        <v>0</v>
      </c>
      <c r="O97" s="73">
        <v>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41">
        <v>0</v>
      </c>
      <c r="AD97" s="161">
        <v>0</v>
      </c>
    </row>
    <row r="98" spans="1:71" s="15" customFormat="1" x14ac:dyDescent="0.3">
      <c r="A98" s="53">
        <v>3237</v>
      </c>
      <c r="B98" s="16" t="s">
        <v>34</v>
      </c>
      <c r="C98" s="78">
        <v>33200</v>
      </c>
      <c r="D98" s="78">
        <v>9858.27</v>
      </c>
      <c r="E98" s="78">
        <f t="shared" si="8"/>
        <v>29.6935843373494</v>
      </c>
      <c r="F98" s="78">
        <f>115495.21/7.5345</f>
        <v>15328.848629637003</v>
      </c>
      <c r="G98" s="78">
        <f t="shared" si="7"/>
        <v>64.311875198114279</v>
      </c>
      <c r="H98" s="38">
        <v>7000</v>
      </c>
      <c r="I98" s="38">
        <f>I100</f>
        <v>4274.18</v>
      </c>
      <c r="J98" s="68">
        <v>0</v>
      </c>
      <c r="K98" s="68">
        <v>0</v>
      </c>
      <c r="L98" s="38">
        <v>0</v>
      </c>
      <c r="M98" s="38">
        <v>0</v>
      </c>
      <c r="N98" s="198">
        <v>14200</v>
      </c>
      <c r="O98" s="72">
        <f>O100</f>
        <v>740.79</v>
      </c>
      <c r="P98" s="38">
        <v>0</v>
      </c>
      <c r="Q98" s="70">
        <v>12000</v>
      </c>
      <c r="R98" s="70">
        <f>R100</f>
        <v>4843.3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170">
        <v>0</v>
      </c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</row>
    <row r="99" spans="1:71" x14ac:dyDescent="0.3">
      <c r="A99" s="54">
        <v>32371</v>
      </c>
      <c r="B99" s="18" t="s">
        <v>94</v>
      </c>
      <c r="C99" s="79">
        <v>0</v>
      </c>
      <c r="D99" s="79">
        <v>0</v>
      </c>
      <c r="E99" s="79">
        <v>0</v>
      </c>
      <c r="F99" s="79">
        <f>13683.72/7.5345</f>
        <v>1816.1417479593865</v>
      </c>
      <c r="G99" s="79">
        <f t="shared" si="7"/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195">
        <v>0</v>
      </c>
      <c r="O99" s="73">
        <v>0</v>
      </c>
      <c r="P99" s="41">
        <v>0</v>
      </c>
      <c r="Q99" s="34">
        <v>0</v>
      </c>
      <c r="R99" s="34">
        <v>0</v>
      </c>
      <c r="S99" s="41">
        <v>0</v>
      </c>
      <c r="T99" s="41">
        <v>0</v>
      </c>
      <c r="U99" s="41">
        <v>0</v>
      </c>
      <c r="V99" s="41">
        <v>0</v>
      </c>
      <c r="W99" s="41">
        <v>0</v>
      </c>
      <c r="X99" s="41">
        <v>0</v>
      </c>
      <c r="Y99" s="41">
        <v>0</v>
      </c>
      <c r="Z99" s="41">
        <v>0</v>
      </c>
      <c r="AA99" s="41">
        <v>0</v>
      </c>
      <c r="AB99" s="41">
        <v>0</v>
      </c>
      <c r="AC99" s="41">
        <v>0</v>
      </c>
      <c r="AD99" s="161">
        <v>0</v>
      </c>
    </row>
    <row r="100" spans="1:71" x14ac:dyDescent="0.3">
      <c r="A100" s="54">
        <v>32372</v>
      </c>
      <c r="B100" s="18" t="s">
        <v>95</v>
      </c>
      <c r="C100" s="79">
        <v>31000</v>
      </c>
      <c r="D100" s="79">
        <v>9858.27</v>
      </c>
      <c r="E100" s="79">
        <f>D100/C100*100</f>
        <v>31.800870967741936</v>
      </c>
      <c r="F100" s="79">
        <f>101811.49/7.5345</f>
        <v>13512.706881677615</v>
      </c>
      <c r="G100" s="79">
        <f t="shared" si="7"/>
        <v>72.955552772088893</v>
      </c>
      <c r="H100" s="41">
        <v>7000</v>
      </c>
      <c r="I100" s="41">
        <v>4274.18</v>
      </c>
      <c r="J100" s="41">
        <v>0</v>
      </c>
      <c r="K100" s="41">
        <v>0</v>
      </c>
      <c r="L100" s="41">
        <v>0</v>
      </c>
      <c r="M100" s="41">
        <v>0</v>
      </c>
      <c r="N100" s="195">
        <v>12000</v>
      </c>
      <c r="O100" s="73">
        <v>740.79</v>
      </c>
      <c r="P100" s="41">
        <v>0</v>
      </c>
      <c r="Q100" s="34">
        <v>12000</v>
      </c>
      <c r="R100" s="34">
        <v>4843.3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161">
        <v>0</v>
      </c>
    </row>
    <row r="101" spans="1:71" x14ac:dyDescent="0.3">
      <c r="A101" s="54">
        <v>32373</v>
      </c>
      <c r="B101" s="18" t="s">
        <v>96</v>
      </c>
      <c r="C101" s="79">
        <v>200</v>
      </c>
      <c r="D101" s="79">
        <v>0</v>
      </c>
      <c r="E101" s="79">
        <f>D101/C101*100</f>
        <v>0</v>
      </c>
      <c r="F101" s="79">
        <v>0</v>
      </c>
      <c r="G101" s="79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195">
        <v>200</v>
      </c>
      <c r="O101" s="73">
        <v>0</v>
      </c>
      <c r="P101" s="41">
        <v>0</v>
      </c>
      <c r="Q101" s="34">
        <v>0</v>
      </c>
      <c r="R101" s="34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0</v>
      </c>
      <c r="AC101" s="41">
        <v>0</v>
      </c>
      <c r="AD101" s="161">
        <v>0</v>
      </c>
    </row>
    <row r="102" spans="1:71" x14ac:dyDescent="0.3">
      <c r="A102" s="54">
        <v>32377</v>
      </c>
      <c r="B102" s="18" t="s">
        <v>139</v>
      </c>
      <c r="C102" s="79">
        <v>0</v>
      </c>
      <c r="D102" s="79">
        <v>0</v>
      </c>
      <c r="E102" s="79">
        <v>0</v>
      </c>
      <c r="F102" s="79">
        <v>0</v>
      </c>
      <c r="G102" s="79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195">
        <v>0</v>
      </c>
      <c r="O102" s="73">
        <v>0</v>
      </c>
      <c r="P102" s="41">
        <v>0</v>
      </c>
      <c r="Q102" s="34">
        <v>0</v>
      </c>
      <c r="R102" s="34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161">
        <v>0</v>
      </c>
    </row>
    <row r="103" spans="1:71" ht="19.5" customHeight="1" x14ac:dyDescent="0.3">
      <c r="A103" s="54">
        <v>32379</v>
      </c>
      <c r="B103" s="18" t="s">
        <v>97</v>
      </c>
      <c r="C103" s="79">
        <v>2000</v>
      </c>
      <c r="D103" s="79">
        <v>0</v>
      </c>
      <c r="E103" s="79">
        <v>0</v>
      </c>
      <c r="F103" s="79">
        <v>0</v>
      </c>
      <c r="G103" s="79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195">
        <v>2000</v>
      </c>
      <c r="O103" s="73">
        <v>0</v>
      </c>
      <c r="P103" s="41">
        <v>0</v>
      </c>
      <c r="Q103" s="34">
        <v>0</v>
      </c>
      <c r="R103" s="34">
        <v>0</v>
      </c>
      <c r="S103" s="41">
        <v>0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161">
        <v>0</v>
      </c>
    </row>
    <row r="104" spans="1:71" s="15" customFormat="1" x14ac:dyDescent="0.3">
      <c r="A104" s="53">
        <v>3238</v>
      </c>
      <c r="B104" s="16" t="s">
        <v>35</v>
      </c>
      <c r="C104" s="78">
        <v>4000</v>
      </c>
      <c r="D104" s="78">
        <v>1772.03</v>
      </c>
      <c r="E104" s="78">
        <f>D104/C104*100</f>
        <v>44.300750000000001</v>
      </c>
      <c r="F104" s="78">
        <f>10350/7.5345</f>
        <v>1373.6810670913796</v>
      </c>
      <c r="G104" s="78">
        <f t="shared" si="7"/>
        <v>128.99864768115944</v>
      </c>
      <c r="H104" s="38">
        <v>0</v>
      </c>
      <c r="I104" s="38">
        <v>0</v>
      </c>
      <c r="J104" s="68">
        <v>0</v>
      </c>
      <c r="K104" s="68">
        <v>0</v>
      </c>
      <c r="L104" s="38">
        <v>0</v>
      </c>
      <c r="M104" s="38">
        <v>0</v>
      </c>
      <c r="N104" s="198">
        <v>4000</v>
      </c>
      <c r="O104" s="72">
        <f>O107</f>
        <v>1772.03</v>
      </c>
      <c r="P104" s="38">
        <v>0</v>
      </c>
      <c r="Q104" s="70">
        <v>0</v>
      </c>
      <c r="R104" s="70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0</v>
      </c>
      <c r="AD104" s="170">
        <v>0</v>
      </c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</row>
    <row r="105" spans="1:71" s="10" customFormat="1" x14ac:dyDescent="0.3">
      <c r="A105" s="55">
        <v>32381</v>
      </c>
      <c r="B105" s="20" t="s">
        <v>119</v>
      </c>
      <c r="C105" s="79">
        <v>0</v>
      </c>
      <c r="D105" s="79">
        <v>0</v>
      </c>
      <c r="E105" s="79">
        <v>0</v>
      </c>
      <c r="F105" s="79">
        <v>0</v>
      </c>
      <c r="G105" s="79">
        <v>0</v>
      </c>
      <c r="H105" s="40">
        <v>0</v>
      </c>
      <c r="I105" s="40">
        <v>0</v>
      </c>
      <c r="J105" s="69">
        <v>0</v>
      </c>
      <c r="K105" s="69">
        <v>0</v>
      </c>
      <c r="L105" s="40">
        <v>0</v>
      </c>
      <c r="M105" s="40">
        <v>0</v>
      </c>
      <c r="N105" s="195">
        <v>0</v>
      </c>
      <c r="O105" s="73">
        <v>0</v>
      </c>
      <c r="P105" s="40">
        <v>0</v>
      </c>
      <c r="Q105" s="81">
        <v>0</v>
      </c>
      <c r="R105" s="81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  <c r="AC105" s="40">
        <v>0</v>
      </c>
      <c r="AD105" s="172">
        <v>0</v>
      </c>
    </row>
    <row r="106" spans="1:71" x14ac:dyDescent="0.3">
      <c r="A106" s="54">
        <v>32382</v>
      </c>
      <c r="B106" s="18" t="s">
        <v>98</v>
      </c>
      <c r="C106" s="79">
        <v>0</v>
      </c>
      <c r="D106" s="79">
        <v>0</v>
      </c>
      <c r="E106" s="79">
        <v>0</v>
      </c>
      <c r="F106" s="79">
        <v>0</v>
      </c>
      <c r="G106" s="79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195">
        <v>0</v>
      </c>
      <c r="O106" s="73">
        <v>0</v>
      </c>
      <c r="P106" s="41">
        <v>0</v>
      </c>
      <c r="Q106" s="34">
        <v>0</v>
      </c>
      <c r="R106" s="34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161">
        <v>0</v>
      </c>
    </row>
    <row r="107" spans="1:71" x14ac:dyDescent="0.3">
      <c r="A107" s="54">
        <v>32389</v>
      </c>
      <c r="B107" s="18" t="s">
        <v>99</v>
      </c>
      <c r="C107" s="79">
        <v>4000</v>
      </c>
      <c r="D107" s="79">
        <v>1772.03</v>
      </c>
      <c r="E107" s="79">
        <f>D107/C107*100</f>
        <v>44.300750000000001</v>
      </c>
      <c r="F107" s="79">
        <f>10350/7.5345</f>
        <v>1373.6810670913796</v>
      </c>
      <c r="G107" s="79">
        <f t="shared" ref="G105:G136" si="9">D107/F107*100</f>
        <v>128.99864768115944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195">
        <v>4000</v>
      </c>
      <c r="O107" s="73">
        <v>1772.03</v>
      </c>
      <c r="P107" s="41">
        <v>0</v>
      </c>
      <c r="Q107" s="34">
        <v>0</v>
      </c>
      <c r="R107" s="34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161">
        <v>0</v>
      </c>
    </row>
    <row r="108" spans="1:71" s="15" customFormat="1" x14ac:dyDescent="0.3">
      <c r="A108" s="53">
        <v>3239</v>
      </c>
      <c r="B108" s="16" t="s">
        <v>36</v>
      </c>
      <c r="C108" s="78">
        <v>6136.54</v>
      </c>
      <c r="D108" s="78">
        <v>1375.9699999999998</v>
      </c>
      <c r="E108" s="78">
        <f>D108/C108*100</f>
        <v>22.422570373532967</v>
      </c>
      <c r="F108" s="78">
        <f>17369.4/7.5345</f>
        <v>2305.3155484770059</v>
      </c>
      <c r="G108" s="78">
        <f t="shared" si="9"/>
        <v>59.686839873570754</v>
      </c>
      <c r="H108" s="38">
        <v>4000</v>
      </c>
      <c r="I108" s="38">
        <f>I109+I114</f>
        <v>858.53</v>
      </c>
      <c r="J108" s="68">
        <v>0</v>
      </c>
      <c r="K108" s="68">
        <v>0</v>
      </c>
      <c r="L108" s="38">
        <v>0</v>
      </c>
      <c r="M108" s="38">
        <v>0</v>
      </c>
      <c r="N108" s="198">
        <v>2136.54</v>
      </c>
      <c r="O108" s="72">
        <f>O111+O114</f>
        <v>517.43999999999994</v>
      </c>
      <c r="P108" s="38">
        <v>0</v>
      </c>
      <c r="Q108" s="68">
        <v>0</v>
      </c>
      <c r="R108" s="6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0</v>
      </c>
      <c r="AD108" s="170">
        <v>0</v>
      </c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</row>
    <row r="109" spans="1:71" ht="36.75" x14ac:dyDescent="0.3">
      <c r="A109" s="54">
        <v>32391</v>
      </c>
      <c r="B109" s="19" t="s">
        <v>107</v>
      </c>
      <c r="C109" s="79">
        <v>2500</v>
      </c>
      <c r="D109" s="79">
        <v>460.37</v>
      </c>
      <c r="E109" s="79">
        <f>D109/C109*100</f>
        <v>18.4148</v>
      </c>
      <c r="F109" s="79">
        <f>7824.15/7.5345</f>
        <v>1038.4431614572964</v>
      </c>
      <c r="G109" s="79">
        <f t="shared" si="9"/>
        <v>44.332710454170744</v>
      </c>
      <c r="H109" s="41">
        <v>2500</v>
      </c>
      <c r="I109" s="41">
        <v>460.37</v>
      </c>
      <c r="J109" s="41">
        <v>0</v>
      </c>
      <c r="K109" s="41">
        <v>0</v>
      </c>
      <c r="L109" s="41">
        <v>0</v>
      </c>
      <c r="M109" s="41">
        <v>0</v>
      </c>
      <c r="N109" s="195">
        <v>0</v>
      </c>
      <c r="O109" s="73">
        <v>0</v>
      </c>
      <c r="P109" s="41">
        <v>0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1">
        <v>0</v>
      </c>
      <c r="AC109" s="41">
        <v>0</v>
      </c>
      <c r="AD109" s="161">
        <v>0</v>
      </c>
    </row>
    <row r="110" spans="1:71" x14ac:dyDescent="0.3">
      <c r="A110" s="54">
        <v>32392</v>
      </c>
      <c r="B110" s="18" t="s">
        <v>100</v>
      </c>
      <c r="C110" s="79">
        <v>1000</v>
      </c>
      <c r="D110" s="79">
        <v>0</v>
      </c>
      <c r="E110" s="79">
        <v>0</v>
      </c>
      <c r="F110" s="79">
        <f>3500/7.5345</f>
        <v>464.52982945119118</v>
      </c>
      <c r="G110" s="79">
        <f t="shared" si="9"/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195">
        <v>1000</v>
      </c>
      <c r="O110" s="73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161">
        <v>0</v>
      </c>
    </row>
    <row r="111" spans="1:71" x14ac:dyDescent="0.3">
      <c r="A111" s="54">
        <v>32394</v>
      </c>
      <c r="B111" s="18" t="s">
        <v>118</v>
      </c>
      <c r="C111" s="79">
        <v>136.53999999999996</v>
      </c>
      <c r="D111" s="79">
        <v>136.54</v>
      </c>
      <c r="E111" s="79">
        <f>D111/C111*100</f>
        <v>100.00000000000003</v>
      </c>
      <c r="F111" s="79">
        <f>1884.25/7.5345</f>
        <v>250.08295175525913</v>
      </c>
      <c r="G111" s="79">
        <f t="shared" si="9"/>
        <v>54.597884038742208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195">
        <v>136.53999999999996</v>
      </c>
      <c r="O111" s="73">
        <v>136.54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161">
        <v>0</v>
      </c>
    </row>
    <row r="112" spans="1:71" x14ac:dyDescent="0.3">
      <c r="A112" s="54">
        <v>32395</v>
      </c>
      <c r="B112" s="18" t="s">
        <v>125</v>
      </c>
      <c r="C112" s="79">
        <v>0</v>
      </c>
      <c r="D112" s="79">
        <v>0</v>
      </c>
      <c r="E112" s="79">
        <v>0</v>
      </c>
      <c r="F112" s="79">
        <f>27/7.5345</f>
        <v>3.583515827194903</v>
      </c>
      <c r="G112" s="79">
        <f t="shared" si="9"/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195">
        <v>0</v>
      </c>
      <c r="O112" s="73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161">
        <v>0</v>
      </c>
    </row>
    <row r="113" spans="1:71" x14ac:dyDescent="0.3">
      <c r="A113" s="54">
        <v>32396</v>
      </c>
      <c r="B113" s="18" t="s">
        <v>101</v>
      </c>
      <c r="C113" s="79">
        <v>0</v>
      </c>
      <c r="D113" s="79">
        <v>0</v>
      </c>
      <c r="E113" s="79">
        <v>0</v>
      </c>
      <c r="F113" s="79">
        <v>0</v>
      </c>
      <c r="G113" s="79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195">
        <v>0</v>
      </c>
      <c r="O113" s="73">
        <v>0</v>
      </c>
      <c r="P113" s="41">
        <v>0</v>
      </c>
      <c r="Q113" s="41">
        <v>0</v>
      </c>
      <c r="R113" s="41">
        <v>0</v>
      </c>
      <c r="S113" s="41">
        <v>0</v>
      </c>
      <c r="T113" s="41">
        <v>0</v>
      </c>
      <c r="U113" s="41">
        <v>0</v>
      </c>
      <c r="V113" s="41">
        <v>0</v>
      </c>
      <c r="W113" s="41">
        <v>0</v>
      </c>
      <c r="X113" s="41">
        <v>0</v>
      </c>
      <c r="Y113" s="41">
        <v>0</v>
      </c>
      <c r="Z113" s="41">
        <v>0</v>
      </c>
      <c r="AA113" s="41">
        <v>0</v>
      </c>
      <c r="AB113" s="41">
        <v>0</v>
      </c>
      <c r="AC113" s="41">
        <v>0</v>
      </c>
      <c r="AD113" s="161">
        <v>0</v>
      </c>
    </row>
    <row r="114" spans="1:71" ht="19.5" thickBot="1" x14ac:dyDescent="0.35">
      <c r="A114" s="52">
        <v>32399</v>
      </c>
      <c r="B114" s="14" t="s">
        <v>102</v>
      </c>
      <c r="C114" s="77">
        <v>2500</v>
      </c>
      <c r="D114" s="77">
        <v>779.06</v>
      </c>
      <c r="E114" s="77">
        <f t="shared" ref="E114:E122" si="10">D114/C114*100</f>
        <v>31.162399999999995</v>
      </c>
      <c r="F114" s="77">
        <f>3891/7.5345</f>
        <v>516.42444754130997</v>
      </c>
      <c r="G114" s="77">
        <f t="shared" si="9"/>
        <v>150.85652968388587</v>
      </c>
      <c r="H114" s="42">
        <v>1500</v>
      </c>
      <c r="I114" s="42">
        <v>398.16</v>
      </c>
      <c r="J114" s="42">
        <v>0</v>
      </c>
      <c r="K114" s="42">
        <v>0</v>
      </c>
      <c r="L114" s="42">
        <v>0</v>
      </c>
      <c r="M114" s="42">
        <v>0</v>
      </c>
      <c r="N114" s="199">
        <v>1000</v>
      </c>
      <c r="O114" s="75">
        <v>380.9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0</v>
      </c>
      <c r="W114" s="42">
        <v>0</v>
      </c>
      <c r="X114" s="42">
        <v>0</v>
      </c>
      <c r="Y114" s="42">
        <v>0</v>
      </c>
      <c r="Z114" s="42">
        <v>0</v>
      </c>
      <c r="AA114" s="42">
        <v>0</v>
      </c>
      <c r="AB114" s="42">
        <v>0</v>
      </c>
      <c r="AC114" s="42">
        <v>0</v>
      </c>
      <c r="AD114" s="162">
        <v>0</v>
      </c>
    </row>
    <row r="115" spans="1:71" s="11" customFormat="1" ht="19.5" thickBot="1" x14ac:dyDescent="0.35">
      <c r="A115" s="43">
        <v>324</v>
      </c>
      <c r="B115" s="44" t="s">
        <v>19</v>
      </c>
      <c r="C115" s="89">
        <v>10470</v>
      </c>
      <c r="D115" s="89">
        <v>7207.8</v>
      </c>
      <c r="E115" s="89">
        <f t="shared" si="10"/>
        <v>68.842406876790832</v>
      </c>
      <c r="F115" s="89">
        <f>49237.25/7.5345</f>
        <v>6534.9060986130462</v>
      </c>
      <c r="G115" s="89">
        <f t="shared" si="9"/>
        <v>110.29691767919614</v>
      </c>
      <c r="H115" s="45">
        <v>4000</v>
      </c>
      <c r="I115" s="45">
        <f>I116</f>
        <v>4000</v>
      </c>
      <c r="J115" s="71">
        <v>1470</v>
      </c>
      <c r="K115" s="71">
        <f>K116</f>
        <v>1470</v>
      </c>
      <c r="L115" s="45">
        <v>0</v>
      </c>
      <c r="M115" s="45">
        <v>0</v>
      </c>
      <c r="N115" s="200">
        <v>3500</v>
      </c>
      <c r="O115" s="90">
        <f>O116</f>
        <v>1128</v>
      </c>
      <c r="P115" s="45">
        <v>0</v>
      </c>
      <c r="Q115" s="71">
        <v>1500</v>
      </c>
      <c r="R115" s="71">
        <f>R116</f>
        <v>609.79999999999995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45">
        <v>0</v>
      </c>
      <c r="AB115" s="45">
        <v>0</v>
      </c>
      <c r="AC115" s="45">
        <v>0</v>
      </c>
      <c r="AD115" s="159">
        <v>0</v>
      </c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</row>
    <row r="116" spans="1:71" s="15" customFormat="1" x14ac:dyDescent="0.3">
      <c r="A116" s="108">
        <v>3241</v>
      </c>
      <c r="B116" s="121" t="s">
        <v>19</v>
      </c>
      <c r="C116" s="110">
        <v>10470</v>
      </c>
      <c r="D116" s="110">
        <v>7207.8</v>
      </c>
      <c r="E116" s="110">
        <f t="shared" si="10"/>
        <v>68.842406876790832</v>
      </c>
      <c r="F116" s="110">
        <f>49237.25/7.5345</f>
        <v>6534.9060986130462</v>
      </c>
      <c r="G116" s="110">
        <f t="shared" si="9"/>
        <v>110.29691767919614</v>
      </c>
      <c r="H116" s="119">
        <v>4000</v>
      </c>
      <c r="I116" s="119">
        <f>I118</f>
        <v>4000</v>
      </c>
      <c r="J116" s="118">
        <v>1470</v>
      </c>
      <c r="K116" s="118">
        <f>K118</f>
        <v>1470</v>
      </c>
      <c r="L116" s="119">
        <v>0</v>
      </c>
      <c r="M116" s="119">
        <v>0</v>
      </c>
      <c r="N116" s="194">
        <v>3500</v>
      </c>
      <c r="O116" s="114">
        <f>O118</f>
        <v>1128</v>
      </c>
      <c r="P116" s="119">
        <v>0</v>
      </c>
      <c r="Q116" s="118">
        <v>1500</v>
      </c>
      <c r="R116" s="118">
        <f>R118</f>
        <v>609.79999999999995</v>
      </c>
      <c r="S116" s="119">
        <v>0</v>
      </c>
      <c r="T116" s="119">
        <v>0</v>
      </c>
      <c r="U116" s="119">
        <v>0</v>
      </c>
      <c r="V116" s="119">
        <v>0</v>
      </c>
      <c r="W116" s="119">
        <v>0</v>
      </c>
      <c r="X116" s="119">
        <v>0</v>
      </c>
      <c r="Y116" s="119">
        <v>0</v>
      </c>
      <c r="Z116" s="119">
        <v>0</v>
      </c>
      <c r="AA116" s="119">
        <v>0</v>
      </c>
      <c r="AB116" s="119">
        <v>0</v>
      </c>
      <c r="AC116" s="119">
        <v>0</v>
      </c>
      <c r="AD116" s="171">
        <v>0</v>
      </c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</row>
    <row r="117" spans="1:71" x14ac:dyDescent="0.3">
      <c r="A117" s="54">
        <v>32411</v>
      </c>
      <c r="B117" s="18" t="s">
        <v>108</v>
      </c>
      <c r="C117" s="79">
        <v>1000</v>
      </c>
      <c r="D117" s="79">
        <v>0</v>
      </c>
      <c r="E117" s="79">
        <f t="shared" si="10"/>
        <v>0</v>
      </c>
      <c r="F117" s="79">
        <f>2053.04/7.5345</f>
        <v>272.48523458756387</v>
      </c>
      <c r="G117" s="79">
        <f t="shared" si="9"/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195">
        <v>1000</v>
      </c>
      <c r="O117" s="73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161">
        <v>0</v>
      </c>
    </row>
    <row r="118" spans="1:71" ht="19.5" thickBot="1" x14ac:dyDescent="0.35">
      <c r="A118" s="52">
        <v>32412</v>
      </c>
      <c r="B118" s="14" t="s">
        <v>117</v>
      </c>
      <c r="C118" s="77">
        <v>9470</v>
      </c>
      <c r="D118" s="77">
        <v>7207.8</v>
      </c>
      <c r="E118" s="77">
        <f t="shared" si="10"/>
        <v>76.111932418162624</v>
      </c>
      <c r="F118" s="77">
        <f>47184.21/7.5345</f>
        <v>6262.4208640254819</v>
      </c>
      <c r="G118" s="77">
        <f t="shared" si="9"/>
        <v>115.09606518790928</v>
      </c>
      <c r="H118" s="42">
        <v>4000</v>
      </c>
      <c r="I118" s="42">
        <v>4000</v>
      </c>
      <c r="J118" s="42">
        <v>1470</v>
      </c>
      <c r="K118" s="42">
        <v>1470</v>
      </c>
      <c r="L118" s="42">
        <v>0</v>
      </c>
      <c r="M118" s="42">
        <v>0</v>
      </c>
      <c r="N118" s="199">
        <v>2500</v>
      </c>
      <c r="O118" s="75">
        <v>1128</v>
      </c>
      <c r="P118" s="42">
        <v>0</v>
      </c>
      <c r="Q118" s="42">
        <v>1500</v>
      </c>
      <c r="R118" s="42">
        <v>609.79999999999995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  <c r="Z118" s="42">
        <v>0</v>
      </c>
      <c r="AA118" s="42">
        <v>0</v>
      </c>
      <c r="AB118" s="42">
        <v>0</v>
      </c>
      <c r="AC118" s="42">
        <v>0</v>
      </c>
      <c r="AD118" s="162">
        <v>0</v>
      </c>
    </row>
    <row r="119" spans="1:71" s="11" customFormat="1" ht="37.5" thickBot="1" x14ac:dyDescent="0.35">
      <c r="A119" s="43">
        <v>329</v>
      </c>
      <c r="B119" s="115" t="s">
        <v>1</v>
      </c>
      <c r="C119" s="89">
        <v>10800</v>
      </c>
      <c r="D119" s="89">
        <v>5212</v>
      </c>
      <c r="E119" s="89">
        <f t="shared" si="10"/>
        <v>48.25925925925926</v>
      </c>
      <c r="F119" s="89">
        <f>55666.1/7.5345</f>
        <v>7388.1611254894151</v>
      </c>
      <c r="G119" s="89">
        <f t="shared" si="9"/>
        <v>70.545294173653275</v>
      </c>
      <c r="H119" s="45">
        <v>0</v>
      </c>
      <c r="I119" s="45">
        <v>0</v>
      </c>
      <c r="J119" s="45">
        <v>0</v>
      </c>
      <c r="K119" s="45">
        <v>0</v>
      </c>
      <c r="L119" s="45">
        <v>0</v>
      </c>
      <c r="M119" s="45">
        <v>0</v>
      </c>
      <c r="N119" s="200">
        <v>7100</v>
      </c>
      <c r="O119" s="90">
        <f>O120+O124+O126+O128+O135</f>
        <v>3532</v>
      </c>
      <c r="P119" s="45">
        <v>0</v>
      </c>
      <c r="Q119" s="71">
        <v>3700</v>
      </c>
      <c r="R119" s="71">
        <f>R128</f>
        <v>1680</v>
      </c>
      <c r="S119" s="45">
        <v>0</v>
      </c>
      <c r="T119" s="45">
        <v>0</v>
      </c>
      <c r="U119" s="45">
        <v>0</v>
      </c>
      <c r="V119" s="45">
        <v>0</v>
      </c>
      <c r="W119" s="45">
        <v>0</v>
      </c>
      <c r="X119" s="45">
        <v>0</v>
      </c>
      <c r="Y119" s="45">
        <v>0</v>
      </c>
      <c r="Z119" s="45">
        <v>0</v>
      </c>
      <c r="AA119" s="45">
        <v>0</v>
      </c>
      <c r="AB119" s="45">
        <v>0</v>
      </c>
      <c r="AC119" s="45">
        <v>0</v>
      </c>
      <c r="AD119" s="159">
        <v>0</v>
      </c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</row>
    <row r="120" spans="1:71" s="23" customFormat="1" x14ac:dyDescent="0.3">
      <c r="A120" s="108">
        <v>3292</v>
      </c>
      <c r="B120" s="109" t="s">
        <v>46</v>
      </c>
      <c r="C120" s="110">
        <v>2300</v>
      </c>
      <c r="D120" s="110">
        <v>1374.03</v>
      </c>
      <c r="E120" s="110">
        <f t="shared" si="10"/>
        <v>59.740434782608695</v>
      </c>
      <c r="F120" s="110">
        <f>8904.1/7.5345</f>
        <v>1181.7771584046718</v>
      </c>
      <c r="G120" s="110">
        <f t="shared" si="9"/>
        <v>116.26811283565999</v>
      </c>
      <c r="H120" s="119">
        <v>0</v>
      </c>
      <c r="I120" s="119">
        <v>0</v>
      </c>
      <c r="J120" s="119">
        <v>0</v>
      </c>
      <c r="K120" s="119">
        <v>0</v>
      </c>
      <c r="L120" s="119">
        <v>0</v>
      </c>
      <c r="M120" s="119">
        <v>0</v>
      </c>
      <c r="N120" s="194">
        <v>2300</v>
      </c>
      <c r="O120" s="114">
        <f>O121+O122</f>
        <v>1374.03</v>
      </c>
      <c r="P120" s="119">
        <v>0</v>
      </c>
      <c r="Q120" s="118">
        <v>0</v>
      </c>
      <c r="R120" s="118">
        <v>0</v>
      </c>
      <c r="S120" s="119">
        <v>0</v>
      </c>
      <c r="T120" s="119">
        <v>0</v>
      </c>
      <c r="U120" s="119">
        <v>0</v>
      </c>
      <c r="V120" s="119">
        <v>0</v>
      </c>
      <c r="W120" s="119">
        <v>0</v>
      </c>
      <c r="X120" s="119">
        <v>0</v>
      </c>
      <c r="Y120" s="119">
        <v>0</v>
      </c>
      <c r="Z120" s="119">
        <v>0</v>
      </c>
      <c r="AA120" s="119">
        <v>0</v>
      </c>
      <c r="AB120" s="119">
        <v>0</v>
      </c>
      <c r="AC120" s="119">
        <v>0</v>
      </c>
      <c r="AD120" s="171">
        <v>0</v>
      </c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</row>
    <row r="121" spans="1:71" s="12" customFormat="1" ht="36.75" x14ac:dyDescent="0.3">
      <c r="A121" s="55">
        <v>32921</v>
      </c>
      <c r="B121" s="21" t="s">
        <v>115</v>
      </c>
      <c r="C121" s="79">
        <v>1100</v>
      </c>
      <c r="D121" s="79">
        <v>549.86</v>
      </c>
      <c r="E121" s="79">
        <f t="shared" si="10"/>
        <v>49.987272727272732</v>
      </c>
      <c r="F121" s="79">
        <f>2694.36/7.5345</f>
        <v>357.60302608003184</v>
      </c>
      <c r="G121" s="79">
        <f t="shared" si="9"/>
        <v>153.76268093350555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195">
        <v>1100</v>
      </c>
      <c r="O121" s="73">
        <v>549.86</v>
      </c>
      <c r="P121" s="40">
        <v>0</v>
      </c>
      <c r="Q121" s="69">
        <v>0</v>
      </c>
      <c r="R121" s="69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172">
        <v>0</v>
      </c>
    </row>
    <row r="122" spans="1:71" s="12" customFormat="1" ht="36.75" x14ac:dyDescent="0.3">
      <c r="A122" s="55">
        <v>32922</v>
      </c>
      <c r="B122" s="21" t="s">
        <v>116</v>
      </c>
      <c r="C122" s="79">
        <v>1200</v>
      </c>
      <c r="D122" s="79">
        <v>824.17</v>
      </c>
      <c r="E122" s="79">
        <f t="shared" si="10"/>
        <v>68.680833333333339</v>
      </c>
      <c r="F122" s="79">
        <f>6209.74/7.5345</f>
        <v>824.17413232463991</v>
      </c>
      <c r="G122" s="79">
        <f t="shared" si="9"/>
        <v>99.99949861024777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195">
        <v>1200</v>
      </c>
      <c r="O122" s="73">
        <v>824.17</v>
      </c>
      <c r="P122" s="40">
        <v>0</v>
      </c>
      <c r="Q122" s="69">
        <v>0</v>
      </c>
      <c r="R122" s="69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  <c r="AC122" s="40">
        <v>0</v>
      </c>
      <c r="AD122" s="172">
        <v>0</v>
      </c>
    </row>
    <row r="123" spans="1:71" s="11" customFormat="1" x14ac:dyDescent="0.3">
      <c r="A123" s="60">
        <v>32923</v>
      </c>
      <c r="B123" s="57" t="s">
        <v>103</v>
      </c>
      <c r="C123" s="79">
        <v>0</v>
      </c>
      <c r="D123" s="79">
        <v>0</v>
      </c>
      <c r="E123" s="79">
        <v>0</v>
      </c>
      <c r="F123" s="79">
        <v>0</v>
      </c>
      <c r="G123" s="79">
        <v>0</v>
      </c>
      <c r="H123" s="58">
        <v>0</v>
      </c>
      <c r="I123" s="58">
        <v>0</v>
      </c>
      <c r="J123" s="58">
        <v>0</v>
      </c>
      <c r="K123" s="58">
        <v>0</v>
      </c>
      <c r="L123" s="41">
        <v>0</v>
      </c>
      <c r="M123" s="41">
        <v>0</v>
      </c>
      <c r="N123" s="195">
        <v>0</v>
      </c>
      <c r="O123" s="73">
        <v>0</v>
      </c>
      <c r="P123" s="41">
        <v>0</v>
      </c>
      <c r="Q123" s="58">
        <v>0</v>
      </c>
      <c r="R123" s="58">
        <v>0</v>
      </c>
      <c r="S123" s="58">
        <v>0</v>
      </c>
      <c r="T123" s="58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161">
        <v>0</v>
      </c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</row>
    <row r="124" spans="1:71" s="23" customFormat="1" x14ac:dyDescent="0.3">
      <c r="A124" s="53">
        <v>3293</v>
      </c>
      <c r="B124" s="17" t="s">
        <v>37</v>
      </c>
      <c r="C124" s="78">
        <v>2000</v>
      </c>
      <c r="D124" s="78">
        <v>1129.19</v>
      </c>
      <c r="E124" s="78">
        <f>D124/C124*100</f>
        <v>56.459500000000006</v>
      </c>
      <c r="F124" s="78">
        <f>12200.07/7.5345</f>
        <v>1619.2275532550268</v>
      </c>
      <c r="G124" s="78">
        <f t="shared" si="9"/>
        <v>69.736338029208028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198">
        <v>2000</v>
      </c>
      <c r="O124" s="72">
        <f>O125</f>
        <v>1129.19</v>
      </c>
      <c r="P124" s="38">
        <v>0</v>
      </c>
      <c r="Q124" s="68">
        <v>0</v>
      </c>
      <c r="R124" s="6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170">
        <v>0</v>
      </c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</row>
    <row r="125" spans="1:71" s="11" customFormat="1" x14ac:dyDescent="0.3">
      <c r="A125" s="54">
        <v>32931</v>
      </c>
      <c r="B125" s="19" t="s">
        <v>37</v>
      </c>
      <c r="C125" s="79">
        <v>2000</v>
      </c>
      <c r="D125" s="79">
        <v>1129.19</v>
      </c>
      <c r="E125" s="79">
        <f>D125/C125*100</f>
        <v>56.459500000000006</v>
      </c>
      <c r="F125" s="79">
        <f>12200.07/7.5345</f>
        <v>1619.2275532550268</v>
      </c>
      <c r="G125" s="79">
        <f t="shared" si="9"/>
        <v>69.736338029208028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195">
        <v>2000</v>
      </c>
      <c r="O125" s="73">
        <v>1129.19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1">
        <v>0</v>
      </c>
      <c r="W125" s="41">
        <v>0</v>
      </c>
      <c r="X125" s="41">
        <v>0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161">
        <v>0</v>
      </c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</row>
    <row r="126" spans="1:71" s="15" customFormat="1" x14ac:dyDescent="0.3">
      <c r="A126" s="53">
        <v>3294</v>
      </c>
      <c r="B126" s="17" t="s">
        <v>38</v>
      </c>
      <c r="C126" s="78">
        <v>1500</v>
      </c>
      <c r="D126" s="78">
        <v>866</v>
      </c>
      <c r="E126" s="78">
        <f>D126/C126*100</f>
        <v>57.733333333333334</v>
      </c>
      <c r="F126" s="78">
        <f>5900/7.5345</f>
        <v>783.06456964629365</v>
      </c>
      <c r="G126" s="78">
        <f t="shared" si="9"/>
        <v>110.59113559322036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198">
        <v>1500</v>
      </c>
      <c r="O126" s="72">
        <f>O127</f>
        <v>866</v>
      </c>
      <c r="P126" s="38">
        <v>0</v>
      </c>
      <c r="Q126" s="68">
        <v>0</v>
      </c>
      <c r="R126" s="6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170">
        <v>0</v>
      </c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</row>
    <row r="127" spans="1:71" x14ac:dyDescent="0.3">
      <c r="A127" s="54">
        <v>32941</v>
      </c>
      <c r="B127" s="19" t="s">
        <v>104</v>
      </c>
      <c r="C127" s="79">
        <v>1500</v>
      </c>
      <c r="D127" s="79">
        <v>866</v>
      </c>
      <c r="E127" s="79">
        <f>D127/C127*100</f>
        <v>57.733333333333334</v>
      </c>
      <c r="F127" s="79">
        <f>5900/7.5345</f>
        <v>783.06456964629365</v>
      </c>
      <c r="G127" s="79">
        <f t="shared" si="9"/>
        <v>110.59113559322036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195">
        <v>1500</v>
      </c>
      <c r="O127" s="73">
        <v>866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161">
        <v>0</v>
      </c>
    </row>
    <row r="128" spans="1:71" s="15" customFormat="1" x14ac:dyDescent="0.3">
      <c r="A128" s="53">
        <v>3295</v>
      </c>
      <c r="B128" s="24" t="s">
        <v>47</v>
      </c>
      <c r="C128" s="78">
        <v>4300</v>
      </c>
      <c r="D128" s="78">
        <v>1756.91</v>
      </c>
      <c r="E128" s="78">
        <f>D128/C128*100</f>
        <v>40.858372093023263</v>
      </c>
      <c r="F128" s="78">
        <f>14183.8/7.5345</f>
        <v>1882.5137699913728</v>
      </c>
      <c r="G128" s="78">
        <f t="shared" si="9"/>
        <v>93.327869788068099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198">
        <v>600</v>
      </c>
      <c r="O128" s="72">
        <f>O130+O132</f>
        <v>76.91</v>
      </c>
      <c r="P128" s="38">
        <v>0</v>
      </c>
      <c r="Q128" s="68">
        <v>3700</v>
      </c>
      <c r="R128" s="68">
        <f>R131</f>
        <v>1680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0</v>
      </c>
      <c r="AD128" s="170">
        <v>0</v>
      </c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</row>
    <row r="129" spans="1:71" s="10" customFormat="1" ht="17.25" customHeight="1" x14ac:dyDescent="0.3">
      <c r="A129" s="55">
        <v>32952</v>
      </c>
      <c r="B129" s="59" t="s">
        <v>143</v>
      </c>
      <c r="C129" s="79">
        <v>0</v>
      </c>
      <c r="D129" s="79">
        <v>0</v>
      </c>
      <c r="E129" s="79">
        <v>0</v>
      </c>
      <c r="F129" s="79">
        <f>1500/7.5345</f>
        <v>199.08421262193906</v>
      </c>
      <c r="G129" s="79">
        <f t="shared" si="9"/>
        <v>0</v>
      </c>
      <c r="H129" s="40">
        <v>0</v>
      </c>
      <c r="I129" s="40">
        <v>0</v>
      </c>
      <c r="J129" s="40">
        <v>0</v>
      </c>
      <c r="K129" s="40">
        <v>0</v>
      </c>
      <c r="L129" s="40">
        <v>0</v>
      </c>
      <c r="M129" s="40">
        <v>0</v>
      </c>
      <c r="N129" s="201">
        <v>0</v>
      </c>
      <c r="O129" s="74">
        <v>0</v>
      </c>
      <c r="P129" s="40">
        <v>0</v>
      </c>
      <c r="Q129" s="69">
        <v>0</v>
      </c>
      <c r="R129" s="69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  <c r="AC129" s="40">
        <v>0</v>
      </c>
      <c r="AD129" s="172">
        <v>0</v>
      </c>
    </row>
    <row r="130" spans="1:71" s="10" customFormat="1" x14ac:dyDescent="0.3">
      <c r="A130" s="55">
        <v>32953</v>
      </c>
      <c r="B130" s="59" t="s">
        <v>114</v>
      </c>
      <c r="C130" s="79">
        <v>300</v>
      </c>
      <c r="D130" s="79">
        <v>66.31</v>
      </c>
      <c r="E130" s="79">
        <f t="shared" ref="E130:E135" si="11">D130/C130*100</f>
        <v>22.103333333333332</v>
      </c>
      <c r="F130" s="79">
        <f>1031.25/7.5345</f>
        <v>136.8703961775831</v>
      </c>
      <c r="G130" s="79">
        <f t="shared" si="9"/>
        <v>48.447291636363644</v>
      </c>
      <c r="H130" s="40">
        <v>0</v>
      </c>
      <c r="I130" s="40">
        <v>0</v>
      </c>
      <c r="J130" s="40">
        <v>0</v>
      </c>
      <c r="K130" s="40">
        <v>0</v>
      </c>
      <c r="L130" s="40">
        <v>0</v>
      </c>
      <c r="M130" s="40">
        <v>0</v>
      </c>
      <c r="N130" s="195">
        <v>300</v>
      </c>
      <c r="O130" s="73">
        <v>66.31</v>
      </c>
      <c r="P130" s="40">
        <v>0</v>
      </c>
      <c r="Q130" s="69">
        <v>0</v>
      </c>
      <c r="R130" s="69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  <c r="AC130" s="40">
        <v>0</v>
      </c>
      <c r="AD130" s="172">
        <v>0</v>
      </c>
    </row>
    <row r="131" spans="1:71" s="10" customFormat="1" x14ac:dyDescent="0.3">
      <c r="A131" s="55">
        <v>32955</v>
      </c>
      <c r="B131" s="59" t="s">
        <v>130</v>
      </c>
      <c r="C131" s="79">
        <v>3700</v>
      </c>
      <c r="D131" s="79">
        <v>1680</v>
      </c>
      <c r="E131" s="79">
        <f t="shared" si="11"/>
        <v>45.405405405405411</v>
      </c>
      <c r="F131" s="79">
        <f>11250/7.5345</f>
        <v>1493.1315946645429</v>
      </c>
      <c r="G131" s="79">
        <f t="shared" si="9"/>
        <v>112.51520000000002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201">
        <v>0</v>
      </c>
      <c r="O131" s="74">
        <v>0</v>
      </c>
      <c r="P131" s="40">
        <v>0</v>
      </c>
      <c r="Q131" s="69">
        <v>3700</v>
      </c>
      <c r="R131" s="69">
        <v>1680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  <c r="AC131" s="40">
        <v>0</v>
      </c>
      <c r="AD131" s="172">
        <v>0</v>
      </c>
    </row>
    <row r="132" spans="1:71" s="10" customFormat="1" x14ac:dyDescent="0.3">
      <c r="A132" s="55">
        <v>32959</v>
      </c>
      <c r="B132" s="59" t="s">
        <v>144</v>
      </c>
      <c r="C132" s="79">
        <v>300</v>
      </c>
      <c r="D132" s="79">
        <v>10.6</v>
      </c>
      <c r="E132" s="79">
        <f t="shared" si="11"/>
        <v>3.5333333333333337</v>
      </c>
      <c r="F132" s="79">
        <f>402.55/7.5345</f>
        <v>53.427566527307718</v>
      </c>
      <c r="G132" s="79">
        <f t="shared" si="9"/>
        <v>19.839945348403923</v>
      </c>
      <c r="H132" s="40">
        <v>0</v>
      </c>
      <c r="I132" s="40">
        <v>0</v>
      </c>
      <c r="J132" s="40">
        <v>0</v>
      </c>
      <c r="K132" s="40">
        <v>0</v>
      </c>
      <c r="L132" s="40">
        <v>0</v>
      </c>
      <c r="M132" s="40">
        <v>0</v>
      </c>
      <c r="N132" s="201">
        <v>300</v>
      </c>
      <c r="O132" s="74">
        <v>10.6</v>
      </c>
      <c r="P132" s="40">
        <v>0</v>
      </c>
      <c r="Q132" s="69">
        <v>0</v>
      </c>
      <c r="R132" s="69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  <c r="AC132" s="40">
        <v>0</v>
      </c>
      <c r="AD132" s="172">
        <v>0</v>
      </c>
    </row>
    <row r="133" spans="1:71" s="15" customFormat="1" x14ac:dyDescent="0.3">
      <c r="A133" s="53">
        <v>3296</v>
      </c>
      <c r="B133" s="24" t="s">
        <v>145</v>
      </c>
      <c r="C133" s="78">
        <v>200</v>
      </c>
      <c r="D133" s="78">
        <v>0</v>
      </c>
      <c r="E133" s="78">
        <f t="shared" si="11"/>
        <v>0</v>
      </c>
      <c r="F133" s="78">
        <f>13125/7.5345</f>
        <v>1741.9868604419669</v>
      </c>
      <c r="G133" s="78">
        <f t="shared" si="9"/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198">
        <v>200</v>
      </c>
      <c r="O133" s="72">
        <v>0</v>
      </c>
      <c r="P133" s="38">
        <v>0</v>
      </c>
      <c r="Q133" s="68">
        <v>0</v>
      </c>
      <c r="R133" s="6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0</v>
      </c>
      <c r="AD133" s="170">
        <v>0</v>
      </c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</row>
    <row r="134" spans="1:71" s="10" customFormat="1" ht="17.25" customHeight="1" x14ac:dyDescent="0.3">
      <c r="A134" s="55">
        <v>32961</v>
      </c>
      <c r="B134" s="59" t="s">
        <v>145</v>
      </c>
      <c r="C134" s="79">
        <v>200</v>
      </c>
      <c r="D134" s="79">
        <v>0</v>
      </c>
      <c r="E134" s="79">
        <f t="shared" si="11"/>
        <v>0</v>
      </c>
      <c r="F134" s="79">
        <f>13125/7.5345</f>
        <v>1741.9868604419669</v>
      </c>
      <c r="G134" s="79">
        <f t="shared" si="9"/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40">
        <v>0</v>
      </c>
      <c r="N134" s="201">
        <v>200</v>
      </c>
      <c r="O134" s="74">
        <v>0</v>
      </c>
      <c r="P134" s="40">
        <v>0</v>
      </c>
      <c r="Q134" s="69">
        <v>0</v>
      </c>
      <c r="R134" s="69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  <c r="AC134" s="40">
        <v>0</v>
      </c>
      <c r="AD134" s="172">
        <v>0</v>
      </c>
    </row>
    <row r="135" spans="1:71" s="15" customFormat="1" ht="36.75" x14ac:dyDescent="0.3">
      <c r="A135" s="53">
        <v>3299</v>
      </c>
      <c r="B135" s="17" t="s">
        <v>1</v>
      </c>
      <c r="C135" s="78">
        <v>500</v>
      </c>
      <c r="D135" s="78">
        <v>85.87</v>
      </c>
      <c r="E135" s="78">
        <f t="shared" si="11"/>
        <v>17.173999999999999</v>
      </c>
      <c r="F135" s="78">
        <f>1353.13/7.5345</f>
        <v>179.59121375008294</v>
      </c>
      <c r="G135" s="78">
        <f t="shared" si="9"/>
        <v>47.814143134805974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198">
        <v>500</v>
      </c>
      <c r="O135" s="72">
        <f>O137</f>
        <v>85.87</v>
      </c>
      <c r="P135" s="38">
        <v>0</v>
      </c>
      <c r="Q135" s="68">
        <v>0</v>
      </c>
      <c r="R135" s="6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0</v>
      </c>
      <c r="AD135" s="170">
        <v>0</v>
      </c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</row>
    <row r="136" spans="1:71" ht="54.75" x14ac:dyDescent="0.3">
      <c r="A136" s="54">
        <v>32991</v>
      </c>
      <c r="B136" s="19" t="s">
        <v>106</v>
      </c>
      <c r="C136" s="79">
        <v>0</v>
      </c>
      <c r="D136" s="79">
        <v>0</v>
      </c>
      <c r="E136" s="79">
        <v>0</v>
      </c>
      <c r="F136" s="79">
        <v>0</v>
      </c>
      <c r="G136" s="79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195">
        <v>0</v>
      </c>
      <c r="O136" s="73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161">
        <v>0</v>
      </c>
    </row>
    <row r="137" spans="1:71" ht="37.5" thickBot="1" x14ac:dyDescent="0.35">
      <c r="A137" s="52">
        <v>32999</v>
      </c>
      <c r="B137" s="116" t="s">
        <v>1</v>
      </c>
      <c r="C137" s="77">
        <v>500</v>
      </c>
      <c r="D137" s="77">
        <v>85.87</v>
      </c>
      <c r="E137" s="77">
        <f t="shared" ref="E137:E144" si="12">D137/C137*100</f>
        <v>17.173999999999999</v>
      </c>
      <c r="F137" s="77">
        <f>1353.13/7.5345</f>
        <v>179.59121375008294</v>
      </c>
      <c r="G137" s="77">
        <f t="shared" ref="G137:G168" si="13">D137/F137*100</f>
        <v>47.814143134805974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199">
        <v>500</v>
      </c>
      <c r="O137" s="75">
        <v>85.87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  <c r="Z137" s="42">
        <v>0</v>
      </c>
      <c r="AA137" s="42">
        <v>0</v>
      </c>
      <c r="AB137" s="42">
        <v>0</v>
      </c>
      <c r="AC137" s="42">
        <v>0</v>
      </c>
      <c r="AD137" s="162">
        <v>0</v>
      </c>
    </row>
    <row r="138" spans="1:71" ht="19.5" thickBot="1" x14ac:dyDescent="0.35">
      <c r="A138" s="43">
        <v>34</v>
      </c>
      <c r="B138" s="44" t="s">
        <v>4</v>
      </c>
      <c r="C138" s="89">
        <v>1170</v>
      </c>
      <c r="D138" s="89">
        <v>339.71</v>
      </c>
      <c r="E138" s="89">
        <f t="shared" si="12"/>
        <v>29.035042735042733</v>
      </c>
      <c r="F138" s="89">
        <f>11344.64/7.5345</f>
        <v>1505.6924812529032</v>
      </c>
      <c r="G138" s="89">
        <f t="shared" si="13"/>
        <v>22.561711918580052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200">
        <v>1170</v>
      </c>
      <c r="O138" s="90">
        <f>O139</f>
        <v>339.71</v>
      </c>
      <c r="P138" s="45">
        <v>0</v>
      </c>
      <c r="Q138" s="71">
        <v>0</v>
      </c>
      <c r="R138" s="71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45">
        <v>0</v>
      </c>
      <c r="AB138" s="45">
        <v>0</v>
      </c>
      <c r="AC138" s="45">
        <v>0</v>
      </c>
      <c r="AD138" s="159">
        <v>0</v>
      </c>
    </row>
    <row r="139" spans="1:71" s="11" customFormat="1" ht="19.5" thickBot="1" x14ac:dyDescent="0.35">
      <c r="A139" s="43">
        <v>343</v>
      </c>
      <c r="B139" s="44" t="s">
        <v>5</v>
      </c>
      <c r="C139" s="89">
        <v>1170</v>
      </c>
      <c r="D139" s="89">
        <v>339.71</v>
      </c>
      <c r="E139" s="89">
        <f t="shared" si="12"/>
        <v>29.035042735042733</v>
      </c>
      <c r="F139" s="89">
        <f>11344.64/7.5345</f>
        <v>1505.6924812529032</v>
      </c>
      <c r="G139" s="89">
        <f t="shared" si="13"/>
        <v>22.561711918580052</v>
      </c>
      <c r="H139" s="45">
        <v>0</v>
      </c>
      <c r="I139" s="45">
        <v>0</v>
      </c>
      <c r="J139" s="45">
        <v>0</v>
      </c>
      <c r="K139" s="45">
        <v>0</v>
      </c>
      <c r="L139" s="45">
        <v>0</v>
      </c>
      <c r="M139" s="45">
        <v>0</v>
      </c>
      <c r="N139" s="200">
        <v>1170</v>
      </c>
      <c r="O139" s="90">
        <f>O140</f>
        <v>339.71</v>
      </c>
      <c r="P139" s="45">
        <v>0</v>
      </c>
      <c r="Q139" s="71">
        <v>0</v>
      </c>
      <c r="R139" s="71">
        <v>0</v>
      </c>
      <c r="S139" s="45">
        <v>0</v>
      </c>
      <c r="T139" s="45">
        <v>0</v>
      </c>
      <c r="U139" s="45">
        <v>0</v>
      </c>
      <c r="V139" s="45">
        <v>0</v>
      </c>
      <c r="W139" s="45">
        <v>0</v>
      </c>
      <c r="X139" s="45">
        <v>0</v>
      </c>
      <c r="Y139" s="45">
        <v>0</v>
      </c>
      <c r="Z139" s="45">
        <v>0</v>
      </c>
      <c r="AA139" s="45">
        <v>0</v>
      </c>
      <c r="AB139" s="45">
        <v>0</v>
      </c>
      <c r="AC139" s="45">
        <v>0</v>
      </c>
      <c r="AD139" s="159">
        <v>0</v>
      </c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</row>
    <row r="140" spans="1:71" s="23" customFormat="1" x14ac:dyDescent="0.3">
      <c r="A140" s="108">
        <v>3431</v>
      </c>
      <c r="B140" s="121" t="s">
        <v>39</v>
      </c>
      <c r="C140" s="110">
        <v>1100</v>
      </c>
      <c r="D140" s="110">
        <v>339.71</v>
      </c>
      <c r="E140" s="110">
        <f t="shared" si="12"/>
        <v>30.882727272727273</v>
      </c>
      <c r="F140" s="110">
        <f>2916.21/7.5345</f>
        <v>387.04758112681662</v>
      </c>
      <c r="G140" s="110">
        <f t="shared" si="13"/>
        <v>87.769570607055044</v>
      </c>
      <c r="H140" s="119">
        <v>0</v>
      </c>
      <c r="I140" s="119">
        <v>0</v>
      </c>
      <c r="J140" s="119">
        <v>0</v>
      </c>
      <c r="K140" s="119">
        <v>0</v>
      </c>
      <c r="L140" s="119">
        <v>0</v>
      </c>
      <c r="M140" s="119">
        <v>0</v>
      </c>
      <c r="N140" s="194">
        <v>1100</v>
      </c>
      <c r="O140" s="114">
        <f>O141</f>
        <v>339.71</v>
      </c>
      <c r="P140" s="119">
        <v>0</v>
      </c>
      <c r="Q140" s="118">
        <v>0</v>
      </c>
      <c r="R140" s="118">
        <v>0</v>
      </c>
      <c r="S140" s="119">
        <v>0</v>
      </c>
      <c r="T140" s="119">
        <v>0</v>
      </c>
      <c r="U140" s="119">
        <v>0</v>
      </c>
      <c r="V140" s="119">
        <v>0</v>
      </c>
      <c r="W140" s="119">
        <v>0</v>
      </c>
      <c r="X140" s="119">
        <v>0</v>
      </c>
      <c r="Y140" s="119">
        <v>0</v>
      </c>
      <c r="Z140" s="119">
        <v>0</v>
      </c>
      <c r="AA140" s="119">
        <v>0</v>
      </c>
      <c r="AB140" s="119">
        <v>0</v>
      </c>
      <c r="AC140" s="119">
        <v>0</v>
      </c>
      <c r="AD140" s="171">
        <v>0</v>
      </c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</row>
    <row r="141" spans="1:71" s="11" customFormat="1" x14ac:dyDescent="0.3">
      <c r="A141" s="54">
        <v>34311</v>
      </c>
      <c r="B141" s="18" t="s">
        <v>105</v>
      </c>
      <c r="C141" s="79">
        <v>1000</v>
      </c>
      <c r="D141" s="79">
        <v>339.71</v>
      </c>
      <c r="E141" s="79">
        <f t="shared" si="12"/>
        <v>33.970999999999997</v>
      </c>
      <c r="F141" s="79">
        <f>2916.21/7.5345</f>
        <v>387.04758112681662</v>
      </c>
      <c r="G141" s="79">
        <f t="shared" si="13"/>
        <v>87.769570607055044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195">
        <v>1000</v>
      </c>
      <c r="O141" s="73">
        <v>339.71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161">
        <v>0</v>
      </c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</row>
    <row r="142" spans="1:71" s="11" customFormat="1" x14ac:dyDescent="0.3">
      <c r="A142" s="54">
        <v>34312</v>
      </c>
      <c r="B142" s="18" t="s">
        <v>137</v>
      </c>
      <c r="C142" s="79">
        <v>100</v>
      </c>
      <c r="D142" s="79">
        <v>0</v>
      </c>
      <c r="E142" s="79">
        <f t="shared" si="12"/>
        <v>0</v>
      </c>
      <c r="F142" s="79">
        <v>0</v>
      </c>
      <c r="G142" s="79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195">
        <v>100</v>
      </c>
      <c r="O142" s="73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0</v>
      </c>
      <c r="X142" s="41">
        <v>0</v>
      </c>
      <c r="Y142" s="41">
        <v>0</v>
      </c>
      <c r="Z142" s="41">
        <v>0</v>
      </c>
      <c r="AA142" s="41">
        <v>0</v>
      </c>
      <c r="AB142" s="41">
        <v>0</v>
      </c>
      <c r="AC142" s="41">
        <v>0</v>
      </c>
      <c r="AD142" s="161">
        <v>0</v>
      </c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</row>
    <row r="143" spans="1:71" s="23" customFormat="1" x14ac:dyDescent="0.3">
      <c r="A143" s="53">
        <v>3432</v>
      </c>
      <c r="B143" s="16" t="s">
        <v>55</v>
      </c>
      <c r="C143" s="78">
        <v>20</v>
      </c>
      <c r="D143" s="78">
        <v>0</v>
      </c>
      <c r="E143" s="78">
        <f t="shared" si="12"/>
        <v>0</v>
      </c>
      <c r="F143" s="78">
        <f>26.65/7.5345</f>
        <v>3.537062844249784</v>
      </c>
      <c r="G143" s="78">
        <f t="shared" si="13"/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198">
        <v>20</v>
      </c>
      <c r="O143" s="72">
        <v>0</v>
      </c>
      <c r="P143" s="38">
        <v>0</v>
      </c>
      <c r="Q143" s="68">
        <v>0</v>
      </c>
      <c r="R143" s="6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0</v>
      </c>
      <c r="AD143" s="170">
        <v>0</v>
      </c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</row>
    <row r="144" spans="1:71" s="23" customFormat="1" x14ac:dyDescent="0.3">
      <c r="A144" s="53">
        <v>3433</v>
      </c>
      <c r="B144" s="16" t="s">
        <v>45</v>
      </c>
      <c r="C144" s="78">
        <v>50</v>
      </c>
      <c r="D144" s="78">
        <v>0</v>
      </c>
      <c r="E144" s="78">
        <f t="shared" si="12"/>
        <v>0</v>
      </c>
      <c r="F144" s="78">
        <f>8401.78/7.5345</f>
        <v>1115.107837281837</v>
      </c>
      <c r="G144" s="78">
        <f t="shared" si="13"/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198">
        <v>50</v>
      </c>
      <c r="O144" s="72">
        <v>0</v>
      </c>
      <c r="P144" s="38">
        <v>0</v>
      </c>
      <c r="Q144" s="68">
        <v>0</v>
      </c>
      <c r="R144" s="6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0</v>
      </c>
      <c r="AD144" s="170">
        <v>0</v>
      </c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</row>
    <row r="145" spans="1:71" s="12" customFormat="1" x14ac:dyDescent="0.3">
      <c r="A145" s="55">
        <v>34331</v>
      </c>
      <c r="B145" s="20" t="s">
        <v>151</v>
      </c>
      <c r="C145" s="79">
        <v>0</v>
      </c>
      <c r="D145" s="79">
        <v>0</v>
      </c>
      <c r="E145" s="79">
        <v>0</v>
      </c>
      <c r="F145" s="79">
        <f>167.13/7.5345</f>
        <v>22.18196297033645</v>
      </c>
      <c r="G145" s="79">
        <f t="shared" si="13"/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201">
        <v>0</v>
      </c>
      <c r="O145" s="74">
        <v>0</v>
      </c>
      <c r="P145" s="40">
        <v>0</v>
      </c>
      <c r="Q145" s="69">
        <v>0</v>
      </c>
      <c r="R145" s="69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  <c r="AC145" s="40">
        <v>0</v>
      </c>
      <c r="AD145" s="172">
        <v>0</v>
      </c>
    </row>
    <row r="146" spans="1:71" s="12" customFormat="1" x14ac:dyDescent="0.3">
      <c r="A146" s="55">
        <v>34332</v>
      </c>
      <c r="B146" s="20" t="s">
        <v>152</v>
      </c>
      <c r="C146" s="79">
        <v>0</v>
      </c>
      <c r="D146" s="79">
        <v>0</v>
      </c>
      <c r="E146" s="79">
        <v>0</v>
      </c>
      <c r="F146" s="79">
        <f>2984.45/7.5345</f>
        <v>396.1045855730307</v>
      </c>
      <c r="G146" s="79">
        <f t="shared" si="13"/>
        <v>0</v>
      </c>
      <c r="H146" s="40">
        <v>0</v>
      </c>
      <c r="I146" s="40">
        <v>0</v>
      </c>
      <c r="J146" s="40">
        <v>0</v>
      </c>
      <c r="K146" s="40">
        <v>0</v>
      </c>
      <c r="L146" s="40">
        <v>0</v>
      </c>
      <c r="M146" s="40">
        <v>0</v>
      </c>
      <c r="N146" s="201">
        <v>0</v>
      </c>
      <c r="O146" s="74">
        <v>0</v>
      </c>
      <c r="P146" s="40">
        <v>0</v>
      </c>
      <c r="Q146" s="69">
        <v>0</v>
      </c>
      <c r="R146" s="69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  <c r="AC146" s="40">
        <v>0</v>
      </c>
      <c r="AD146" s="172">
        <v>0</v>
      </c>
    </row>
    <row r="147" spans="1:71" s="10" customFormat="1" ht="19.5" thickBot="1" x14ac:dyDescent="0.35">
      <c r="A147" s="56">
        <v>34339</v>
      </c>
      <c r="B147" s="25" t="s">
        <v>153</v>
      </c>
      <c r="C147" s="77">
        <v>50</v>
      </c>
      <c r="D147" s="77">
        <v>0</v>
      </c>
      <c r="E147" s="77">
        <f>D147/C147*100</f>
        <v>0</v>
      </c>
      <c r="F147" s="77">
        <f>5250.2/7.5345</f>
        <v>696.82128873846966</v>
      </c>
      <c r="G147" s="77">
        <f t="shared" si="13"/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202">
        <v>50</v>
      </c>
      <c r="O147" s="92">
        <v>0</v>
      </c>
      <c r="P147" s="39">
        <v>0</v>
      </c>
      <c r="Q147" s="67">
        <v>0</v>
      </c>
      <c r="R147" s="67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0</v>
      </c>
      <c r="AB147" s="39">
        <v>0</v>
      </c>
      <c r="AC147" s="39">
        <v>0</v>
      </c>
      <c r="AD147" s="173">
        <v>0</v>
      </c>
    </row>
    <row r="148" spans="1:71" s="10" customFormat="1" ht="37.5" thickBot="1" x14ac:dyDescent="0.35">
      <c r="A148" s="43">
        <v>372</v>
      </c>
      <c r="B148" s="115" t="s">
        <v>154</v>
      </c>
      <c r="C148" s="89">
        <v>800</v>
      </c>
      <c r="D148" s="89">
        <v>298.08</v>
      </c>
      <c r="E148" s="89">
        <f>D148/C148*100</f>
        <v>37.26</v>
      </c>
      <c r="F148" s="89">
        <v>0</v>
      </c>
      <c r="G148" s="89">
        <v>0</v>
      </c>
      <c r="H148" s="45">
        <v>0</v>
      </c>
      <c r="I148" s="45">
        <v>0</v>
      </c>
      <c r="J148" s="45">
        <v>0</v>
      </c>
      <c r="K148" s="45">
        <v>0</v>
      </c>
      <c r="L148" s="45">
        <v>0</v>
      </c>
      <c r="M148" s="45">
        <v>0</v>
      </c>
      <c r="N148" s="200">
        <v>0</v>
      </c>
      <c r="O148" s="90">
        <v>0</v>
      </c>
      <c r="P148" s="45">
        <v>0</v>
      </c>
      <c r="Q148" s="71">
        <v>800</v>
      </c>
      <c r="R148" s="71">
        <f>R149</f>
        <v>298.08</v>
      </c>
      <c r="S148" s="45">
        <v>0</v>
      </c>
      <c r="T148" s="45">
        <v>0</v>
      </c>
      <c r="U148" s="45">
        <v>0</v>
      </c>
      <c r="V148" s="45">
        <v>0</v>
      </c>
      <c r="W148" s="45">
        <v>0</v>
      </c>
      <c r="X148" s="45">
        <v>0</v>
      </c>
      <c r="Y148" s="45">
        <v>0</v>
      </c>
      <c r="Z148" s="45">
        <v>0</v>
      </c>
      <c r="AA148" s="45">
        <v>0</v>
      </c>
      <c r="AB148" s="45">
        <v>0</v>
      </c>
      <c r="AC148" s="45">
        <v>0</v>
      </c>
      <c r="AD148" s="159">
        <v>0</v>
      </c>
    </row>
    <row r="149" spans="1:71" s="10" customFormat="1" ht="36.75" x14ac:dyDescent="0.3">
      <c r="A149" s="336">
        <v>3721</v>
      </c>
      <c r="B149" s="337" t="s">
        <v>165</v>
      </c>
      <c r="C149" s="338">
        <v>800</v>
      </c>
      <c r="D149" s="338">
        <v>298.08</v>
      </c>
      <c r="E149" s="338">
        <f>D149/C149*100</f>
        <v>37.26</v>
      </c>
      <c r="F149" s="338">
        <v>0</v>
      </c>
      <c r="G149" s="338">
        <v>0</v>
      </c>
      <c r="H149" s="128">
        <v>0</v>
      </c>
      <c r="I149" s="128">
        <v>0</v>
      </c>
      <c r="J149" s="128">
        <v>0</v>
      </c>
      <c r="K149" s="128">
        <v>0</v>
      </c>
      <c r="L149" s="128">
        <v>0</v>
      </c>
      <c r="M149" s="128">
        <v>0</v>
      </c>
      <c r="N149" s="339">
        <v>0</v>
      </c>
      <c r="O149" s="340">
        <v>0</v>
      </c>
      <c r="P149" s="128">
        <v>0</v>
      </c>
      <c r="Q149" s="341">
        <v>800</v>
      </c>
      <c r="R149" s="341">
        <f>R150</f>
        <v>298.08</v>
      </c>
      <c r="S149" s="128">
        <v>0</v>
      </c>
      <c r="T149" s="128">
        <v>0</v>
      </c>
      <c r="U149" s="128">
        <v>0</v>
      </c>
      <c r="V149" s="128">
        <v>0</v>
      </c>
      <c r="W149" s="128">
        <v>0</v>
      </c>
      <c r="X149" s="128">
        <v>0</v>
      </c>
      <c r="Y149" s="128">
        <v>0</v>
      </c>
      <c r="Z149" s="128">
        <v>0</v>
      </c>
      <c r="AA149" s="128">
        <v>0</v>
      </c>
      <c r="AB149" s="128">
        <v>0</v>
      </c>
      <c r="AC149" s="128">
        <v>0</v>
      </c>
      <c r="AD149" s="175">
        <v>0</v>
      </c>
    </row>
    <row r="150" spans="1:71" s="10" customFormat="1" ht="36.75" x14ac:dyDescent="0.3">
      <c r="A150" s="132">
        <v>37219</v>
      </c>
      <c r="B150" s="21" t="s">
        <v>166</v>
      </c>
      <c r="C150" s="133">
        <v>800</v>
      </c>
      <c r="D150" s="133">
        <v>298.08</v>
      </c>
      <c r="E150" s="133">
        <f>D150/C150*100</f>
        <v>37.26</v>
      </c>
      <c r="F150" s="133">
        <v>0</v>
      </c>
      <c r="G150" s="133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197">
        <v>0</v>
      </c>
      <c r="O150" s="134">
        <v>0</v>
      </c>
      <c r="P150" s="40">
        <v>0</v>
      </c>
      <c r="Q150" s="135">
        <v>800</v>
      </c>
      <c r="R150" s="135">
        <v>298.08</v>
      </c>
      <c r="S150" s="40"/>
      <c r="T150" s="40"/>
      <c r="U150" s="40"/>
      <c r="V150" s="40"/>
      <c r="W150" s="40">
        <v>0</v>
      </c>
      <c r="X150" s="40"/>
      <c r="Y150" s="40"/>
      <c r="Z150" s="40">
        <v>0</v>
      </c>
      <c r="AA150" s="40"/>
      <c r="AB150" s="40"/>
      <c r="AC150" s="40"/>
      <c r="AD150" s="172"/>
    </row>
    <row r="151" spans="1:71" s="10" customFormat="1" x14ac:dyDescent="0.3">
      <c r="A151" s="53">
        <v>3722</v>
      </c>
      <c r="B151" s="16" t="s">
        <v>155</v>
      </c>
      <c r="C151" s="78">
        <v>0</v>
      </c>
      <c r="D151" s="78">
        <v>0</v>
      </c>
      <c r="E151" s="78">
        <v>0</v>
      </c>
      <c r="F151" s="78">
        <v>0</v>
      </c>
      <c r="G151" s="7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198">
        <v>0</v>
      </c>
      <c r="O151" s="72">
        <v>0</v>
      </c>
      <c r="P151" s="38">
        <v>0</v>
      </c>
      <c r="Q151" s="68">
        <v>0</v>
      </c>
      <c r="R151" s="6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38">
        <v>0</v>
      </c>
      <c r="AD151" s="170">
        <v>0</v>
      </c>
    </row>
    <row r="152" spans="1:71" s="10" customFormat="1" ht="37.5" thickBot="1" x14ac:dyDescent="0.35">
      <c r="A152" s="56">
        <v>37229</v>
      </c>
      <c r="B152" s="342" t="s">
        <v>156</v>
      </c>
      <c r="C152" s="77">
        <v>0</v>
      </c>
      <c r="D152" s="77">
        <v>0</v>
      </c>
      <c r="E152" s="77">
        <v>0</v>
      </c>
      <c r="F152" s="77">
        <v>0</v>
      </c>
      <c r="G152" s="77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202">
        <v>0</v>
      </c>
      <c r="O152" s="92">
        <v>0</v>
      </c>
      <c r="P152" s="39">
        <v>0</v>
      </c>
      <c r="Q152" s="67">
        <v>0</v>
      </c>
      <c r="R152" s="67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173">
        <v>0</v>
      </c>
    </row>
    <row r="153" spans="1:71" s="10" customFormat="1" ht="19.5" thickBot="1" x14ac:dyDescent="0.35">
      <c r="A153" s="43">
        <v>381</v>
      </c>
      <c r="B153" s="115" t="s">
        <v>215</v>
      </c>
      <c r="C153" s="89">
        <v>100</v>
      </c>
      <c r="D153" s="89">
        <v>48.38</v>
      </c>
      <c r="E153" s="89">
        <f>D153/C153*100</f>
        <v>48.38</v>
      </c>
      <c r="F153" s="89">
        <v>0</v>
      </c>
      <c r="G153" s="89">
        <v>0</v>
      </c>
      <c r="H153" s="45">
        <v>0</v>
      </c>
      <c r="I153" s="45">
        <v>0</v>
      </c>
      <c r="J153" s="45">
        <v>0</v>
      </c>
      <c r="K153" s="45">
        <v>0</v>
      </c>
      <c r="L153" s="45">
        <v>0</v>
      </c>
      <c r="M153" s="45">
        <v>0</v>
      </c>
      <c r="N153" s="200">
        <v>0</v>
      </c>
      <c r="O153" s="90">
        <v>0</v>
      </c>
      <c r="P153" s="45">
        <v>0</v>
      </c>
      <c r="Q153" s="71">
        <v>100</v>
      </c>
      <c r="R153" s="71">
        <f>R154</f>
        <v>48.38</v>
      </c>
      <c r="S153" s="45">
        <v>0</v>
      </c>
      <c r="T153" s="45">
        <v>0</v>
      </c>
      <c r="U153" s="45">
        <v>0</v>
      </c>
      <c r="V153" s="45">
        <v>0</v>
      </c>
      <c r="W153" s="45">
        <v>0</v>
      </c>
      <c r="X153" s="45">
        <v>0</v>
      </c>
      <c r="Y153" s="45">
        <v>0</v>
      </c>
      <c r="Z153" s="45">
        <v>0</v>
      </c>
      <c r="AA153" s="45">
        <v>0</v>
      </c>
      <c r="AB153" s="45">
        <v>0</v>
      </c>
      <c r="AC153" s="45">
        <v>0</v>
      </c>
      <c r="AD153" s="159">
        <v>0</v>
      </c>
    </row>
    <row r="154" spans="1:71" s="10" customFormat="1" x14ac:dyDescent="0.3">
      <c r="A154" s="336">
        <v>3812</v>
      </c>
      <c r="B154" s="337" t="s">
        <v>216</v>
      </c>
      <c r="C154" s="338">
        <v>100</v>
      </c>
      <c r="D154" s="338">
        <v>48.38</v>
      </c>
      <c r="E154" s="338">
        <f>D154/C154*100</f>
        <v>48.38</v>
      </c>
      <c r="F154" s="338">
        <v>0</v>
      </c>
      <c r="G154" s="338">
        <v>0</v>
      </c>
      <c r="H154" s="128">
        <v>0</v>
      </c>
      <c r="I154" s="128">
        <v>0</v>
      </c>
      <c r="J154" s="128">
        <v>0</v>
      </c>
      <c r="K154" s="128">
        <v>0</v>
      </c>
      <c r="L154" s="128">
        <v>0</v>
      </c>
      <c r="M154" s="128">
        <v>0</v>
      </c>
      <c r="N154" s="339">
        <v>0</v>
      </c>
      <c r="O154" s="340">
        <v>0</v>
      </c>
      <c r="P154" s="128">
        <v>0</v>
      </c>
      <c r="Q154" s="341">
        <v>100</v>
      </c>
      <c r="R154" s="341">
        <f>R155</f>
        <v>48.38</v>
      </c>
      <c r="S154" s="128">
        <v>0</v>
      </c>
      <c r="T154" s="128">
        <v>0</v>
      </c>
      <c r="U154" s="128">
        <v>0</v>
      </c>
      <c r="V154" s="128">
        <v>0</v>
      </c>
      <c r="W154" s="128">
        <v>0</v>
      </c>
      <c r="X154" s="128">
        <v>0</v>
      </c>
      <c r="Y154" s="128">
        <v>0</v>
      </c>
      <c r="Z154" s="128">
        <v>0</v>
      </c>
      <c r="AA154" s="128">
        <v>0</v>
      </c>
      <c r="AB154" s="128">
        <v>0</v>
      </c>
      <c r="AC154" s="128">
        <v>0</v>
      </c>
      <c r="AD154" s="175">
        <v>0</v>
      </c>
    </row>
    <row r="155" spans="1:71" s="10" customFormat="1" x14ac:dyDescent="0.3">
      <c r="A155" s="132">
        <v>38129</v>
      </c>
      <c r="B155" s="21" t="s">
        <v>217</v>
      </c>
      <c r="C155" s="133">
        <v>100</v>
      </c>
      <c r="D155" s="133">
        <v>48.38</v>
      </c>
      <c r="E155" s="133">
        <f>D155/C155*100</f>
        <v>48.38</v>
      </c>
      <c r="F155" s="133">
        <v>0</v>
      </c>
      <c r="G155" s="133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197">
        <v>0</v>
      </c>
      <c r="O155" s="134">
        <v>0</v>
      </c>
      <c r="P155" s="40">
        <v>0</v>
      </c>
      <c r="Q155" s="135">
        <v>100</v>
      </c>
      <c r="R155" s="135">
        <v>48.38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  <c r="AC155" s="40">
        <v>0</v>
      </c>
      <c r="AD155" s="172">
        <v>0</v>
      </c>
    </row>
    <row r="156" spans="1:71" ht="19.5" thickBot="1" x14ac:dyDescent="0.35">
      <c r="A156" s="343"/>
      <c r="B156" s="344"/>
      <c r="C156" s="345">
        <v>14107.960000000001</v>
      </c>
      <c r="D156" s="345">
        <v>5807.96</v>
      </c>
      <c r="E156" s="345">
        <f t="shared" ref="E156:E162" si="14">D156/C156*100</f>
        <v>41.167964751813869</v>
      </c>
      <c r="F156" s="345">
        <f>97479.72/7.5345</f>
        <v>12937.78220187139</v>
      </c>
      <c r="G156" s="345">
        <f t="shared" si="13"/>
        <v>44.891465240154574</v>
      </c>
      <c r="H156" s="346">
        <v>0</v>
      </c>
      <c r="I156" s="346">
        <v>0</v>
      </c>
      <c r="J156" s="347">
        <v>0</v>
      </c>
      <c r="K156" s="347">
        <v>0</v>
      </c>
      <c r="L156" s="346">
        <v>0</v>
      </c>
      <c r="M156" s="346">
        <v>0</v>
      </c>
      <c r="N156" s="348">
        <v>7700</v>
      </c>
      <c r="O156" s="349">
        <f>O157</f>
        <v>300</v>
      </c>
      <c r="P156" s="346">
        <v>0</v>
      </c>
      <c r="Q156" s="347">
        <v>4881.68</v>
      </c>
      <c r="R156" s="347">
        <f>R157</f>
        <v>3981.68</v>
      </c>
      <c r="S156" s="346">
        <v>0</v>
      </c>
      <c r="T156" s="346">
        <v>0</v>
      </c>
      <c r="U156" s="346">
        <v>0</v>
      </c>
      <c r="V156" s="346">
        <v>0</v>
      </c>
      <c r="W156" s="346">
        <v>0</v>
      </c>
      <c r="X156" s="346">
        <v>1526.28</v>
      </c>
      <c r="Y156" s="346">
        <f>Y161</f>
        <v>1526.28</v>
      </c>
      <c r="Z156" s="346">
        <v>0</v>
      </c>
      <c r="AA156" s="346">
        <v>0</v>
      </c>
      <c r="AB156" s="346">
        <v>0</v>
      </c>
      <c r="AC156" s="346">
        <v>0</v>
      </c>
      <c r="AD156" s="350">
        <v>0</v>
      </c>
    </row>
    <row r="157" spans="1:71" ht="55.5" thickBot="1" x14ac:dyDescent="0.35">
      <c r="A157" s="43">
        <v>41</v>
      </c>
      <c r="B157" s="88" t="s">
        <v>54</v>
      </c>
      <c r="C157" s="89">
        <v>7681.68</v>
      </c>
      <c r="D157" s="89">
        <v>4281.68</v>
      </c>
      <c r="E157" s="89">
        <f t="shared" si="14"/>
        <v>55.738848793493091</v>
      </c>
      <c r="F157" s="89">
        <f>6000/7.5345</f>
        <v>796.33685048775624</v>
      </c>
      <c r="G157" s="89">
        <f t="shared" si="13"/>
        <v>537.67196600000011</v>
      </c>
      <c r="H157" s="45">
        <v>0</v>
      </c>
      <c r="I157" s="45">
        <v>0</v>
      </c>
      <c r="J157" s="71">
        <v>0</v>
      </c>
      <c r="K157" s="71">
        <v>0</v>
      </c>
      <c r="L157" s="45">
        <v>0</v>
      </c>
      <c r="M157" s="45">
        <v>0</v>
      </c>
      <c r="N157" s="200">
        <v>3700</v>
      </c>
      <c r="O157" s="90">
        <f>O158</f>
        <v>300</v>
      </c>
      <c r="P157" s="45">
        <v>0</v>
      </c>
      <c r="Q157" s="71">
        <v>3981.68</v>
      </c>
      <c r="R157" s="71">
        <f>R158</f>
        <v>3981.68</v>
      </c>
      <c r="S157" s="45">
        <v>0</v>
      </c>
      <c r="T157" s="45">
        <v>0</v>
      </c>
      <c r="U157" s="45">
        <v>0</v>
      </c>
      <c r="V157" s="45">
        <v>0</v>
      </c>
      <c r="W157" s="45">
        <v>0</v>
      </c>
      <c r="X157" s="45">
        <v>0</v>
      </c>
      <c r="Y157" s="45">
        <v>0</v>
      </c>
      <c r="Z157" s="45">
        <v>0</v>
      </c>
      <c r="AA157" s="45">
        <v>0</v>
      </c>
      <c r="AB157" s="45">
        <v>0</v>
      </c>
      <c r="AC157" s="45">
        <v>0</v>
      </c>
      <c r="AD157" s="159">
        <v>0</v>
      </c>
    </row>
    <row r="158" spans="1:71" ht="19.5" thickBot="1" x14ac:dyDescent="0.35">
      <c r="A158" s="43">
        <v>412</v>
      </c>
      <c r="B158" s="358" t="s">
        <v>53</v>
      </c>
      <c r="C158" s="89">
        <v>7681.68</v>
      </c>
      <c r="D158" s="89">
        <v>4281.68</v>
      </c>
      <c r="E158" s="89">
        <f t="shared" si="14"/>
        <v>55.738848793493091</v>
      </c>
      <c r="F158" s="89">
        <f>6000/7.5345</f>
        <v>796.33685048775624</v>
      </c>
      <c r="G158" s="89">
        <f t="shared" si="13"/>
        <v>537.67196600000011</v>
      </c>
      <c r="H158" s="45">
        <v>0</v>
      </c>
      <c r="I158" s="45">
        <v>0</v>
      </c>
      <c r="J158" s="71">
        <v>0</v>
      </c>
      <c r="K158" s="71">
        <v>0</v>
      </c>
      <c r="L158" s="45">
        <v>0</v>
      </c>
      <c r="M158" s="45">
        <v>0</v>
      </c>
      <c r="N158" s="200">
        <v>3700</v>
      </c>
      <c r="O158" s="359">
        <f>O160</f>
        <v>300</v>
      </c>
      <c r="P158" s="45">
        <v>0</v>
      </c>
      <c r="Q158" s="71">
        <v>3981.68</v>
      </c>
      <c r="R158" s="71">
        <f>R160</f>
        <v>3981.68</v>
      </c>
      <c r="S158" s="45">
        <v>0</v>
      </c>
      <c r="T158" s="45">
        <v>0</v>
      </c>
      <c r="U158" s="45">
        <v>0</v>
      </c>
      <c r="V158" s="45">
        <v>0</v>
      </c>
      <c r="W158" s="45">
        <v>0</v>
      </c>
      <c r="X158" s="45">
        <v>0</v>
      </c>
      <c r="Y158" s="45">
        <v>0</v>
      </c>
      <c r="Z158" s="45">
        <v>0</v>
      </c>
      <c r="AA158" s="45">
        <v>0</v>
      </c>
      <c r="AB158" s="45">
        <v>0</v>
      </c>
      <c r="AC158" s="45">
        <v>0</v>
      </c>
      <c r="AD158" s="159">
        <v>0</v>
      </c>
    </row>
    <row r="159" spans="1:71" s="146" customFormat="1" x14ac:dyDescent="0.3">
      <c r="A159" s="104">
        <v>41231</v>
      </c>
      <c r="B159" s="351" t="s">
        <v>141</v>
      </c>
      <c r="C159" s="352">
        <v>3000</v>
      </c>
      <c r="D159" s="352">
        <v>0</v>
      </c>
      <c r="E159" s="352">
        <f>D159/C159*100</f>
        <v>0</v>
      </c>
      <c r="F159" s="352">
        <v>0</v>
      </c>
      <c r="G159" s="352">
        <v>0</v>
      </c>
      <c r="H159" s="353">
        <v>0</v>
      </c>
      <c r="I159" s="353">
        <v>0</v>
      </c>
      <c r="J159" s="354">
        <v>0</v>
      </c>
      <c r="K159" s="354">
        <v>0</v>
      </c>
      <c r="L159" s="353">
        <v>0</v>
      </c>
      <c r="M159" s="353">
        <v>0</v>
      </c>
      <c r="N159" s="355">
        <v>3000</v>
      </c>
      <c r="O159" s="356">
        <v>0</v>
      </c>
      <c r="P159" s="353">
        <v>0</v>
      </c>
      <c r="Q159" s="354">
        <v>0</v>
      </c>
      <c r="R159" s="354">
        <v>0</v>
      </c>
      <c r="S159" s="353">
        <v>0</v>
      </c>
      <c r="T159" s="353">
        <v>0</v>
      </c>
      <c r="U159" s="353">
        <v>0</v>
      </c>
      <c r="V159" s="353">
        <v>0</v>
      </c>
      <c r="W159" s="353">
        <v>0</v>
      </c>
      <c r="X159" s="353">
        <v>0</v>
      </c>
      <c r="Y159" s="353">
        <v>0</v>
      </c>
      <c r="Z159" s="353">
        <v>0</v>
      </c>
      <c r="AA159" s="353">
        <v>0</v>
      </c>
      <c r="AB159" s="353">
        <v>0</v>
      </c>
      <c r="AC159" s="353">
        <v>0</v>
      </c>
      <c r="AD159" s="357">
        <v>0</v>
      </c>
      <c r="AE159" s="193"/>
      <c r="AF159" s="193"/>
      <c r="AG159" s="193"/>
      <c r="AH159" s="193"/>
      <c r="AI159" s="193"/>
      <c r="AJ159" s="193"/>
      <c r="AK159" s="193"/>
      <c r="AL159" s="193"/>
      <c r="AM159" s="193"/>
      <c r="AN159" s="193"/>
      <c r="AO159" s="193"/>
      <c r="AP159" s="193"/>
      <c r="AQ159" s="193"/>
      <c r="AR159" s="193"/>
      <c r="AS159" s="193"/>
      <c r="AT159" s="193"/>
      <c r="AU159" s="193"/>
      <c r="AV159" s="193"/>
      <c r="AW159" s="193"/>
      <c r="AX159" s="193"/>
      <c r="AY159" s="193"/>
      <c r="AZ159" s="193"/>
      <c r="BA159" s="193"/>
      <c r="BB159" s="193"/>
      <c r="BC159" s="193"/>
      <c r="BD159" s="193"/>
      <c r="BE159" s="193"/>
      <c r="BF159" s="193"/>
      <c r="BG159" s="193"/>
      <c r="BH159" s="193"/>
      <c r="BI159" s="193"/>
      <c r="BJ159" s="193"/>
      <c r="BK159" s="193"/>
      <c r="BL159" s="193"/>
      <c r="BM159" s="193"/>
      <c r="BN159" s="193"/>
      <c r="BO159" s="193"/>
      <c r="BP159" s="193"/>
      <c r="BQ159" s="193"/>
      <c r="BR159" s="193"/>
      <c r="BS159" s="193"/>
    </row>
    <row r="160" spans="1:71" s="146" customFormat="1" ht="19.5" thickBot="1" x14ac:dyDescent="0.35">
      <c r="A160" s="56">
        <v>41249</v>
      </c>
      <c r="B160" s="25" t="s">
        <v>218</v>
      </c>
      <c r="C160" s="360">
        <v>4681.68</v>
      </c>
      <c r="D160" s="360">
        <v>4281.68</v>
      </c>
      <c r="E160" s="360">
        <f t="shared" si="14"/>
        <v>91.456058508911326</v>
      </c>
      <c r="F160" s="360">
        <f>6000/7.5345</f>
        <v>796.33685048775624</v>
      </c>
      <c r="G160" s="360">
        <f t="shared" si="13"/>
        <v>537.67196600000011</v>
      </c>
      <c r="H160" s="39">
        <v>0</v>
      </c>
      <c r="I160" s="39">
        <v>0</v>
      </c>
      <c r="J160" s="67">
        <v>0</v>
      </c>
      <c r="K160" s="67">
        <v>0</v>
      </c>
      <c r="L160" s="39">
        <v>0</v>
      </c>
      <c r="M160" s="39">
        <v>0</v>
      </c>
      <c r="N160" s="199">
        <v>700</v>
      </c>
      <c r="O160" s="75">
        <v>300</v>
      </c>
      <c r="P160" s="39">
        <v>0</v>
      </c>
      <c r="Q160" s="67">
        <v>3981.68</v>
      </c>
      <c r="R160" s="67">
        <v>3981.68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0</v>
      </c>
      <c r="AD160" s="173">
        <v>0</v>
      </c>
      <c r="AE160" s="193"/>
      <c r="AF160" s="193"/>
      <c r="AG160" s="193"/>
      <c r="AH160" s="193"/>
      <c r="AI160" s="193"/>
      <c r="AJ160" s="193"/>
      <c r="AK160" s="193"/>
      <c r="AL160" s="193"/>
      <c r="AM160" s="193"/>
      <c r="AN160" s="193"/>
      <c r="AO160" s="193"/>
      <c r="AP160" s="193"/>
      <c r="AQ160" s="193"/>
      <c r="AR160" s="193"/>
      <c r="AS160" s="193"/>
      <c r="AT160" s="193"/>
      <c r="AU160" s="193"/>
      <c r="AV160" s="193"/>
      <c r="AW160" s="193"/>
      <c r="AX160" s="193"/>
      <c r="AY160" s="193"/>
      <c r="AZ160" s="193"/>
      <c r="BA160" s="193"/>
      <c r="BB160" s="193"/>
      <c r="BC160" s="193"/>
      <c r="BD160" s="193"/>
      <c r="BE160" s="193"/>
      <c r="BF160" s="193"/>
      <c r="BG160" s="193"/>
      <c r="BH160" s="193"/>
      <c r="BI160" s="193"/>
      <c r="BJ160" s="193"/>
      <c r="BK160" s="193"/>
      <c r="BL160" s="193"/>
      <c r="BM160" s="193"/>
      <c r="BN160" s="193"/>
      <c r="BO160" s="193"/>
      <c r="BP160" s="193"/>
      <c r="BQ160" s="193"/>
      <c r="BR160" s="193"/>
      <c r="BS160" s="193"/>
    </row>
    <row r="161" spans="1:71" ht="55.5" thickBot="1" x14ac:dyDescent="0.35">
      <c r="A161" s="43">
        <v>42</v>
      </c>
      <c r="B161" s="361" t="s">
        <v>13</v>
      </c>
      <c r="C161" s="89">
        <v>6426.28</v>
      </c>
      <c r="D161" s="89">
        <v>1526.28</v>
      </c>
      <c r="E161" s="89">
        <f t="shared" si="14"/>
        <v>23.750599102435626</v>
      </c>
      <c r="F161" s="89">
        <f>91479.72/7.5345</f>
        <v>12141.445351383634</v>
      </c>
      <c r="G161" s="89">
        <f t="shared" si="13"/>
        <v>12.570826255261821</v>
      </c>
      <c r="H161" s="45">
        <v>0</v>
      </c>
      <c r="I161" s="45">
        <v>0</v>
      </c>
      <c r="J161" s="71">
        <v>0</v>
      </c>
      <c r="K161" s="71">
        <v>0</v>
      </c>
      <c r="L161" s="45">
        <v>0</v>
      </c>
      <c r="M161" s="45">
        <v>0</v>
      </c>
      <c r="N161" s="200">
        <v>4000</v>
      </c>
      <c r="O161" s="90">
        <v>0</v>
      </c>
      <c r="P161" s="45">
        <v>0</v>
      </c>
      <c r="Q161" s="71">
        <v>900</v>
      </c>
      <c r="R161" s="71">
        <v>0</v>
      </c>
      <c r="S161" s="45">
        <v>0</v>
      </c>
      <c r="T161" s="45">
        <v>0</v>
      </c>
      <c r="U161" s="45">
        <v>0</v>
      </c>
      <c r="V161" s="45">
        <v>0</v>
      </c>
      <c r="W161" s="45">
        <v>0</v>
      </c>
      <c r="X161" s="45">
        <v>1526.28</v>
      </c>
      <c r="Y161" s="45">
        <f>Y162</f>
        <v>1526.28</v>
      </c>
      <c r="Z161" s="45">
        <v>0</v>
      </c>
      <c r="AA161" s="45">
        <v>0</v>
      </c>
      <c r="AB161" s="45">
        <v>0</v>
      </c>
      <c r="AC161" s="45">
        <v>0</v>
      </c>
      <c r="AD161" s="159">
        <v>0</v>
      </c>
    </row>
    <row r="162" spans="1:71" s="11" customFormat="1" ht="19.5" thickBot="1" x14ac:dyDescent="0.35">
      <c r="A162" s="43">
        <v>422</v>
      </c>
      <c r="B162" s="125" t="s">
        <v>14</v>
      </c>
      <c r="C162" s="89">
        <v>5526.28</v>
      </c>
      <c r="D162" s="89">
        <v>1526.28</v>
      </c>
      <c r="E162" s="89">
        <f t="shared" si="14"/>
        <v>27.618578863177401</v>
      </c>
      <c r="F162" s="89">
        <f>90780.73/7.5345</f>
        <v>12048.673435529894</v>
      </c>
      <c r="G162" s="89">
        <f t="shared" si="13"/>
        <v>12.66761862346778</v>
      </c>
      <c r="H162" s="45">
        <v>0</v>
      </c>
      <c r="I162" s="45">
        <v>0</v>
      </c>
      <c r="J162" s="71">
        <v>0</v>
      </c>
      <c r="K162" s="71">
        <v>0</v>
      </c>
      <c r="L162" s="45">
        <v>0</v>
      </c>
      <c r="M162" s="45">
        <v>0</v>
      </c>
      <c r="N162" s="200">
        <v>4000</v>
      </c>
      <c r="O162" s="90">
        <v>0</v>
      </c>
      <c r="P162" s="45">
        <v>0</v>
      </c>
      <c r="Q162" s="71">
        <v>0</v>
      </c>
      <c r="R162" s="71">
        <v>0</v>
      </c>
      <c r="S162" s="45">
        <v>0</v>
      </c>
      <c r="T162" s="45">
        <v>0</v>
      </c>
      <c r="U162" s="45">
        <v>0</v>
      </c>
      <c r="V162" s="45">
        <v>0</v>
      </c>
      <c r="W162" s="45">
        <v>0</v>
      </c>
      <c r="X162" s="45">
        <v>1526.28</v>
      </c>
      <c r="Y162" s="45">
        <f>Y175</f>
        <v>1526.28</v>
      </c>
      <c r="Z162" s="45">
        <v>0</v>
      </c>
      <c r="AA162" s="45">
        <v>0</v>
      </c>
      <c r="AB162" s="45">
        <v>0</v>
      </c>
      <c r="AC162" s="45">
        <v>0</v>
      </c>
      <c r="AD162" s="159">
        <v>0</v>
      </c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</row>
    <row r="163" spans="1:71" s="15" customFormat="1" x14ac:dyDescent="0.3">
      <c r="A163" s="108">
        <v>4221</v>
      </c>
      <c r="B163" s="124" t="s">
        <v>40</v>
      </c>
      <c r="C163" s="110">
        <v>0</v>
      </c>
      <c r="D163" s="110">
        <v>0</v>
      </c>
      <c r="E163" s="110">
        <v>0</v>
      </c>
      <c r="F163" s="110">
        <f>5189.75/7.5345</f>
        <v>688.79819496980554</v>
      </c>
      <c r="G163" s="110">
        <f t="shared" si="13"/>
        <v>0</v>
      </c>
      <c r="H163" s="119">
        <v>0</v>
      </c>
      <c r="I163" s="119">
        <v>0</v>
      </c>
      <c r="J163" s="118">
        <v>0</v>
      </c>
      <c r="K163" s="118">
        <v>0</v>
      </c>
      <c r="L163" s="119">
        <v>0</v>
      </c>
      <c r="M163" s="119">
        <v>0</v>
      </c>
      <c r="N163" s="194">
        <v>0</v>
      </c>
      <c r="O163" s="114">
        <v>0</v>
      </c>
      <c r="P163" s="119">
        <v>0</v>
      </c>
      <c r="Q163" s="118">
        <v>0</v>
      </c>
      <c r="R163" s="118">
        <v>0</v>
      </c>
      <c r="S163" s="119">
        <v>0</v>
      </c>
      <c r="T163" s="119">
        <v>0</v>
      </c>
      <c r="U163" s="119">
        <v>0</v>
      </c>
      <c r="V163" s="119">
        <v>0</v>
      </c>
      <c r="W163" s="119">
        <v>0</v>
      </c>
      <c r="X163" s="119">
        <v>0</v>
      </c>
      <c r="Y163" s="119">
        <v>0</v>
      </c>
      <c r="Z163" s="119">
        <v>0</v>
      </c>
      <c r="AA163" s="119">
        <v>0</v>
      </c>
      <c r="AB163" s="119">
        <v>0</v>
      </c>
      <c r="AC163" s="119">
        <v>0</v>
      </c>
      <c r="AD163" s="171">
        <v>0</v>
      </c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</row>
    <row r="164" spans="1:71" x14ac:dyDescent="0.3">
      <c r="A164" s="60">
        <v>42211</v>
      </c>
      <c r="B164" s="61" t="s">
        <v>109</v>
      </c>
      <c r="C164" s="79">
        <v>0</v>
      </c>
      <c r="D164" s="79">
        <v>0</v>
      </c>
      <c r="E164" s="79">
        <v>0</v>
      </c>
      <c r="F164" s="79">
        <f>2498.75/7.5345</f>
        <v>331.64111752604686</v>
      </c>
      <c r="G164" s="79">
        <f t="shared" si="13"/>
        <v>0</v>
      </c>
      <c r="H164" s="58">
        <v>0</v>
      </c>
      <c r="I164" s="58">
        <v>0</v>
      </c>
      <c r="J164" s="58">
        <v>0</v>
      </c>
      <c r="K164" s="58">
        <v>0</v>
      </c>
      <c r="L164" s="41">
        <v>0</v>
      </c>
      <c r="M164" s="41">
        <v>0</v>
      </c>
      <c r="N164" s="195">
        <v>0</v>
      </c>
      <c r="O164" s="73">
        <v>0</v>
      </c>
      <c r="P164" s="41">
        <v>0</v>
      </c>
      <c r="Q164" s="58">
        <v>0</v>
      </c>
      <c r="R164" s="58">
        <v>0</v>
      </c>
      <c r="S164" s="58">
        <v>0</v>
      </c>
      <c r="T164" s="58">
        <v>0</v>
      </c>
      <c r="U164" s="41">
        <v>0</v>
      </c>
      <c r="V164" s="41">
        <v>0</v>
      </c>
      <c r="W164" s="41">
        <v>0</v>
      </c>
      <c r="X164" s="41">
        <v>0</v>
      </c>
      <c r="Y164" s="58">
        <v>0</v>
      </c>
      <c r="Z164" s="41">
        <v>0</v>
      </c>
      <c r="AA164" s="41">
        <v>0</v>
      </c>
      <c r="AB164" s="41">
        <v>0</v>
      </c>
      <c r="AC164" s="41">
        <v>0</v>
      </c>
      <c r="AD164" s="161">
        <v>0</v>
      </c>
    </row>
    <row r="165" spans="1:71" x14ac:dyDescent="0.3">
      <c r="A165" s="60">
        <v>42212</v>
      </c>
      <c r="B165" s="61" t="s">
        <v>127</v>
      </c>
      <c r="C165" s="79">
        <v>0</v>
      </c>
      <c r="D165" s="79">
        <v>0</v>
      </c>
      <c r="E165" s="79">
        <v>0</v>
      </c>
      <c r="F165" s="79">
        <f>2691/7.5345</f>
        <v>357.15707744375868</v>
      </c>
      <c r="G165" s="79">
        <f t="shared" si="13"/>
        <v>0</v>
      </c>
      <c r="H165" s="58">
        <v>0</v>
      </c>
      <c r="I165" s="58">
        <v>0</v>
      </c>
      <c r="J165" s="58">
        <v>0</v>
      </c>
      <c r="K165" s="58">
        <v>0</v>
      </c>
      <c r="L165" s="41">
        <v>0</v>
      </c>
      <c r="M165" s="41">
        <v>0</v>
      </c>
      <c r="N165" s="195">
        <v>0</v>
      </c>
      <c r="O165" s="73">
        <v>0</v>
      </c>
      <c r="P165" s="41">
        <v>0</v>
      </c>
      <c r="Q165" s="58">
        <v>0</v>
      </c>
      <c r="R165" s="58">
        <v>0</v>
      </c>
      <c r="S165" s="58">
        <v>0</v>
      </c>
      <c r="T165" s="58">
        <v>0</v>
      </c>
      <c r="U165" s="41">
        <v>0</v>
      </c>
      <c r="V165" s="41">
        <v>0</v>
      </c>
      <c r="W165" s="41">
        <v>0</v>
      </c>
      <c r="X165" s="41">
        <v>0</v>
      </c>
      <c r="Y165" s="58">
        <v>0</v>
      </c>
      <c r="Z165" s="41">
        <v>0</v>
      </c>
      <c r="AA165" s="41">
        <v>0</v>
      </c>
      <c r="AB165" s="41">
        <v>0</v>
      </c>
      <c r="AC165" s="41">
        <v>0</v>
      </c>
      <c r="AD165" s="161">
        <v>0</v>
      </c>
    </row>
    <row r="166" spans="1:71" x14ac:dyDescent="0.3">
      <c r="A166" s="60">
        <v>42219</v>
      </c>
      <c r="B166" s="61" t="s">
        <v>110</v>
      </c>
      <c r="C166" s="79">
        <v>0</v>
      </c>
      <c r="D166" s="79">
        <v>0</v>
      </c>
      <c r="E166" s="79">
        <v>0</v>
      </c>
      <c r="F166" s="79">
        <v>0</v>
      </c>
      <c r="G166" s="79">
        <v>0</v>
      </c>
      <c r="H166" s="58">
        <v>0</v>
      </c>
      <c r="I166" s="58">
        <v>0</v>
      </c>
      <c r="J166" s="58">
        <v>0</v>
      </c>
      <c r="K166" s="58">
        <v>0</v>
      </c>
      <c r="L166" s="41">
        <v>0</v>
      </c>
      <c r="M166" s="41">
        <v>0</v>
      </c>
      <c r="N166" s="195">
        <v>0</v>
      </c>
      <c r="O166" s="73">
        <v>0</v>
      </c>
      <c r="P166" s="41">
        <v>0</v>
      </c>
      <c r="Q166" s="58">
        <v>0</v>
      </c>
      <c r="R166" s="58">
        <v>0</v>
      </c>
      <c r="S166" s="58">
        <v>0</v>
      </c>
      <c r="T166" s="58">
        <v>0</v>
      </c>
      <c r="U166" s="41">
        <v>0</v>
      </c>
      <c r="V166" s="41">
        <v>0</v>
      </c>
      <c r="W166" s="41">
        <v>0</v>
      </c>
      <c r="X166" s="41">
        <v>0</v>
      </c>
      <c r="Y166" s="58">
        <v>0</v>
      </c>
      <c r="Z166" s="41">
        <v>0</v>
      </c>
      <c r="AA166" s="41">
        <v>0</v>
      </c>
      <c r="AB166" s="41">
        <v>0</v>
      </c>
      <c r="AC166" s="41">
        <v>0</v>
      </c>
      <c r="AD166" s="161">
        <v>0</v>
      </c>
    </row>
    <row r="167" spans="1:71" s="15" customFormat="1" x14ac:dyDescent="0.3">
      <c r="A167" s="53">
        <v>4222</v>
      </c>
      <c r="B167" s="26" t="s">
        <v>41</v>
      </c>
      <c r="C167" s="78">
        <v>0</v>
      </c>
      <c r="D167" s="78">
        <v>0</v>
      </c>
      <c r="E167" s="78">
        <v>0</v>
      </c>
      <c r="F167" s="78">
        <f>7978.73/7.5345</f>
        <v>1058.9594531820292</v>
      </c>
      <c r="G167" s="78">
        <f t="shared" si="13"/>
        <v>0</v>
      </c>
      <c r="H167" s="38">
        <v>0</v>
      </c>
      <c r="I167" s="38">
        <v>0</v>
      </c>
      <c r="J167" s="68">
        <v>0</v>
      </c>
      <c r="K167" s="68">
        <v>0</v>
      </c>
      <c r="L167" s="38">
        <v>0</v>
      </c>
      <c r="M167" s="38">
        <v>0</v>
      </c>
      <c r="N167" s="198">
        <v>0</v>
      </c>
      <c r="O167" s="72">
        <v>0</v>
      </c>
      <c r="P167" s="38">
        <v>0</v>
      </c>
      <c r="Q167" s="68">
        <v>0</v>
      </c>
      <c r="R167" s="6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38">
        <v>0</v>
      </c>
      <c r="AA167" s="38">
        <v>0</v>
      </c>
      <c r="AB167" s="38">
        <v>0</v>
      </c>
      <c r="AC167" s="38">
        <v>0</v>
      </c>
      <c r="AD167" s="170">
        <v>0</v>
      </c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</row>
    <row r="168" spans="1:71" s="10" customFormat="1" x14ac:dyDescent="0.3">
      <c r="A168" s="55">
        <v>42221</v>
      </c>
      <c r="B168" s="27" t="s">
        <v>131</v>
      </c>
      <c r="C168" s="79">
        <v>0</v>
      </c>
      <c r="D168" s="79">
        <v>0</v>
      </c>
      <c r="E168" s="79">
        <v>0</v>
      </c>
      <c r="F168" s="79">
        <v>0</v>
      </c>
      <c r="G168" s="79">
        <v>0</v>
      </c>
      <c r="H168" s="40">
        <v>0</v>
      </c>
      <c r="I168" s="40">
        <v>0</v>
      </c>
      <c r="J168" s="69">
        <v>0</v>
      </c>
      <c r="K168" s="69">
        <v>0</v>
      </c>
      <c r="L168" s="40">
        <v>0</v>
      </c>
      <c r="M168" s="40">
        <v>0</v>
      </c>
      <c r="N168" s="201">
        <v>0</v>
      </c>
      <c r="O168" s="74">
        <v>0</v>
      </c>
      <c r="P168" s="40">
        <v>0</v>
      </c>
      <c r="Q168" s="69">
        <v>0</v>
      </c>
      <c r="R168" s="69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  <c r="AC168" s="40">
        <v>0</v>
      </c>
      <c r="AD168" s="172">
        <v>0</v>
      </c>
    </row>
    <row r="169" spans="1:71" s="10" customFormat="1" x14ac:dyDescent="0.3">
      <c r="A169" s="55">
        <v>42222</v>
      </c>
      <c r="B169" s="27" t="s">
        <v>129</v>
      </c>
      <c r="C169" s="79">
        <v>0</v>
      </c>
      <c r="D169" s="79">
        <v>0</v>
      </c>
      <c r="E169" s="79">
        <v>0</v>
      </c>
      <c r="F169" s="79">
        <v>0</v>
      </c>
      <c r="G169" s="79">
        <v>0</v>
      </c>
      <c r="H169" s="40">
        <v>0</v>
      </c>
      <c r="I169" s="40">
        <v>0</v>
      </c>
      <c r="J169" s="69">
        <v>0</v>
      </c>
      <c r="K169" s="69">
        <v>0</v>
      </c>
      <c r="L169" s="40">
        <v>0</v>
      </c>
      <c r="M169" s="40">
        <v>0</v>
      </c>
      <c r="N169" s="195">
        <v>0</v>
      </c>
      <c r="O169" s="73">
        <v>0</v>
      </c>
      <c r="P169" s="40">
        <v>0</v>
      </c>
      <c r="Q169" s="69">
        <v>0</v>
      </c>
      <c r="R169" s="69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  <c r="AC169" s="40">
        <v>0</v>
      </c>
      <c r="AD169" s="172">
        <v>0</v>
      </c>
    </row>
    <row r="170" spans="1:71" s="10" customFormat="1" x14ac:dyDescent="0.3">
      <c r="A170" s="55">
        <v>42229</v>
      </c>
      <c r="B170" s="27" t="s">
        <v>132</v>
      </c>
      <c r="C170" s="79">
        <v>0</v>
      </c>
      <c r="D170" s="79">
        <v>0</v>
      </c>
      <c r="E170" s="79">
        <v>0</v>
      </c>
      <c r="F170" s="79">
        <f>7978.73/7.5345</f>
        <v>1058.9594531820292</v>
      </c>
      <c r="G170" s="79">
        <f t="shared" ref="G169:G187" si="15">D170/F170*100</f>
        <v>0</v>
      </c>
      <c r="H170" s="40">
        <v>0</v>
      </c>
      <c r="I170" s="40">
        <v>0</v>
      </c>
      <c r="J170" s="69">
        <v>0</v>
      </c>
      <c r="K170" s="69">
        <v>0</v>
      </c>
      <c r="L170" s="40">
        <v>0</v>
      </c>
      <c r="M170" s="40">
        <v>0</v>
      </c>
      <c r="N170" s="201">
        <v>0</v>
      </c>
      <c r="O170" s="74">
        <v>0</v>
      </c>
      <c r="P170" s="40">
        <v>0</v>
      </c>
      <c r="Q170" s="69">
        <v>0</v>
      </c>
      <c r="R170" s="69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172">
        <v>0</v>
      </c>
    </row>
    <row r="171" spans="1:71" s="15" customFormat="1" x14ac:dyDescent="0.3">
      <c r="A171" s="53">
        <v>4223</v>
      </c>
      <c r="B171" s="26" t="s">
        <v>48</v>
      </c>
      <c r="C171" s="78">
        <v>0</v>
      </c>
      <c r="D171" s="78">
        <v>0</v>
      </c>
      <c r="E171" s="78">
        <v>0</v>
      </c>
      <c r="F171" s="78">
        <v>0</v>
      </c>
      <c r="G171" s="78">
        <v>0</v>
      </c>
      <c r="H171" s="38">
        <v>0</v>
      </c>
      <c r="I171" s="38">
        <v>0</v>
      </c>
      <c r="J171" s="68">
        <v>0</v>
      </c>
      <c r="K171" s="68">
        <v>0</v>
      </c>
      <c r="L171" s="38">
        <v>0</v>
      </c>
      <c r="M171" s="38">
        <v>0</v>
      </c>
      <c r="N171" s="198">
        <v>0</v>
      </c>
      <c r="O171" s="72">
        <v>0</v>
      </c>
      <c r="P171" s="38">
        <v>0</v>
      </c>
      <c r="Q171" s="68">
        <v>0</v>
      </c>
      <c r="R171" s="6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170">
        <v>0</v>
      </c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</row>
    <row r="172" spans="1:71" s="10" customFormat="1" x14ac:dyDescent="0.3">
      <c r="A172" s="55">
        <v>42231</v>
      </c>
      <c r="B172" s="27" t="s">
        <v>128</v>
      </c>
      <c r="C172" s="79">
        <v>0</v>
      </c>
      <c r="D172" s="79">
        <v>0</v>
      </c>
      <c r="E172" s="79">
        <v>0</v>
      </c>
      <c r="F172" s="79">
        <v>0</v>
      </c>
      <c r="G172" s="79">
        <v>0</v>
      </c>
      <c r="H172" s="40">
        <v>0</v>
      </c>
      <c r="I172" s="40">
        <v>0</v>
      </c>
      <c r="J172" s="69">
        <v>0</v>
      </c>
      <c r="K172" s="69">
        <v>0</v>
      </c>
      <c r="L172" s="40">
        <v>0</v>
      </c>
      <c r="M172" s="40">
        <v>0</v>
      </c>
      <c r="N172" s="195">
        <v>0</v>
      </c>
      <c r="O172" s="73">
        <v>0</v>
      </c>
      <c r="P172" s="40">
        <v>0</v>
      </c>
      <c r="Q172" s="69">
        <v>0</v>
      </c>
      <c r="R172" s="69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  <c r="AC172" s="40">
        <v>0</v>
      </c>
      <c r="AD172" s="172">
        <v>0</v>
      </c>
    </row>
    <row r="173" spans="1:71" s="10" customFormat="1" x14ac:dyDescent="0.3">
      <c r="A173" s="55">
        <v>42232</v>
      </c>
      <c r="B173" s="27" t="s">
        <v>133</v>
      </c>
      <c r="C173" s="79">
        <v>0</v>
      </c>
      <c r="D173" s="79">
        <v>0</v>
      </c>
      <c r="E173" s="79">
        <v>0</v>
      </c>
      <c r="F173" s="79">
        <v>0</v>
      </c>
      <c r="G173" s="79">
        <v>0</v>
      </c>
      <c r="H173" s="40">
        <v>0</v>
      </c>
      <c r="I173" s="40">
        <v>0</v>
      </c>
      <c r="J173" s="69">
        <v>0</v>
      </c>
      <c r="K173" s="69">
        <v>0</v>
      </c>
      <c r="L173" s="40">
        <v>0</v>
      </c>
      <c r="M173" s="40">
        <v>0</v>
      </c>
      <c r="N173" s="195">
        <v>0</v>
      </c>
      <c r="O173" s="73">
        <v>0</v>
      </c>
      <c r="P173" s="40">
        <v>0</v>
      </c>
      <c r="Q173" s="69">
        <v>0</v>
      </c>
      <c r="R173" s="69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  <c r="AC173" s="40">
        <v>0</v>
      </c>
      <c r="AD173" s="172">
        <v>0</v>
      </c>
    </row>
    <row r="174" spans="1:71" x14ac:dyDescent="0.3">
      <c r="A174" s="60">
        <v>42239</v>
      </c>
      <c r="B174" s="61" t="s">
        <v>111</v>
      </c>
      <c r="C174" s="79">
        <v>0</v>
      </c>
      <c r="D174" s="79">
        <v>0</v>
      </c>
      <c r="E174" s="79">
        <v>0</v>
      </c>
      <c r="F174" s="79">
        <v>0</v>
      </c>
      <c r="G174" s="79">
        <v>0</v>
      </c>
      <c r="H174" s="58">
        <v>0</v>
      </c>
      <c r="I174" s="58">
        <v>0</v>
      </c>
      <c r="J174" s="58">
        <v>0</v>
      </c>
      <c r="K174" s="58">
        <v>0</v>
      </c>
      <c r="L174" s="41">
        <v>0</v>
      </c>
      <c r="M174" s="41">
        <v>0</v>
      </c>
      <c r="N174" s="195">
        <v>0</v>
      </c>
      <c r="O174" s="73">
        <v>0</v>
      </c>
      <c r="P174" s="41">
        <v>0</v>
      </c>
      <c r="Q174" s="58">
        <v>0</v>
      </c>
      <c r="R174" s="58">
        <v>0</v>
      </c>
      <c r="S174" s="58">
        <v>0</v>
      </c>
      <c r="T174" s="58">
        <v>0</v>
      </c>
      <c r="U174" s="41">
        <v>0</v>
      </c>
      <c r="V174" s="41">
        <v>0</v>
      </c>
      <c r="W174" s="41">
        <v>0</v>
      </c>
      <c r="X174" s="41">
        <v>0</v>
      </c>
      <c r="Y174" s="58">
        <v>0</v>
      </c>
      <c r="Z174" s="41">
        <v>0</v>
      </c>
      <c r="AA174" s="41">
        <v>0</v>
      </c>
      <c r="AB174" s="41">
        <v>0</v>
      </c>
      <c r="AC174" s="41">
        <v>0</v>
      </c>
      <c r="AD174" s="161">
        <v>0</v>
      </c>
    </row>
    <row r="175" spans="1:71" s="15" customFormat="1" x14ac:dyDescent="0.3">
      <c r="A175" s="53">
        <v>4226</v>
      </c>
      <c r="B175" s="26" t="s">
        <v>42</v>
      </c>
      <c r="C175" s="78">
        <v>4526.28</v>
      </c>
      <c r="D175" s="78">
        <v>1526.28</v>
      </c>
      <c r="E175" s="78">
        <f>D175/C175*100</f>
        <v>33.720406161351043</v>
      </c>
      <c r="F175" s="78">
        <f>77612.25/7.5345</f>
        <v>10300.91578737806</v>
      </c>
      <c r="G175" s="78">
        <f t="shared" si="15"/>
        <v>14.816935032807322</v>
      </c>
      <c r="H175" s="38">
        <v>0</v>
      </c>
      <c r="I175" s="38">
        <v>0</v>
      </c>
      <c r="J175" s="68">
        <v>0</v>
      </c>
      <c r="K175" s="68">
        <v>0</v>
      </c>
      <c r="L175" s="38">
        <v>0</v>
      </c>
      <c r="M175" s="38">
        <v>0</v>
      </c>
      <c r="N175" s="198">
        <v>3000</v>
      </c>
      <c r="O175" s="72">
        <v>0</v>
      </c>
      <c r="P175" s="38">
        <v>0</v>
      </c>
      <c r="Q175" s="68">
        <v>0</v>
      </c>
      <c r="R175" s="68">
        <v>0</v>
      </c>
      <c r="S175" s="38">
        <v>0</v>
      </c>
      <c r="T175" s="38">
        <v>0</v>
      </c>
      <c r="U175" s="38">
        <v>0</v>
      </c>
      <c r="V175" s="38">
        <v>0</v>
      </c>
      <c r="W175" s="38">
        <v>0</v>
      </c>
      <c r="X175" s="38">
        <v>1526.28</v>
      </c>
      <c r="Y175" s="38">
        <f>Y176</f>
        <v>1526.28</v>
      </c>
      <c r="Z175" s="38">
        <v>0</v>
      </c>
      <c r="AA175" s="38">
        <v>0</v>
      </c>
      <c r="AB175" s="38">
        <v>0</v>
      </c>
      <c r="AC175" s="38">
        <v>0</v>
      </c>
      <c r="AD175" s="170">
        <v>0</v>
      </c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</row>
    <row r="176" spans="1:71" x14ac:dyDescent="0.3">
      <c r="A176" s="60">
        <v>42262</v>
      </c>
      <c r="B176" s="61" t="s">
        <v>112</v>
      </c>
      <c r="C176" s="79">
        <v>4526.28</v>
      </c>
      <c r="D176" s="79">
        <v>1526.28</v>
      </c>
      <c r="E176" s="79">
        <f>D176/C176*100</f>
        <v>33.720406161351043</v>
      </c>
      <c r="F176" s="79">
        <f>77612.25/7.5345</f>
        <v>10300.91578737806</v>
      </c>
      <c r="G176" s="79">
        <f t="shared" si="15"/>
        <v>14.816935032807322</v>
      </c>
      <c r="H176" s="58">
        <v>0</v>
      </c>
      <c r="I176" s="58">
        <v>0</v>
      </c>
      <c r="J176" s="58">
        <v>0</v>
      </c>
      <c r="K176" s="58">
        <v>0</v>
      </c>
      <c r="L176" s="41">
        <v>0</v>
      </c>
      <c r="M176" s="41">
        <v>0</v>
      </c>
      <c r="N176" s="195">
        <v>3000</v>
      </c>
      <c r="O176" s="73">
        <v>0</v>
      </c>
      <c r="P176" s="41">
        <v>0</v>
      </c>
      <c r="Q176" s="58">
        <v>0</v>
      </c>
      <c r="R176" s="58">
        <v>0</v>
      </c>
      <c r="S176" s="58">
        <v>0</v>
      </c>
      <c r="T176" s="58">
        <v>0</v>
      </c>
      <c r="U176" s="41">
        <v>0</v>
      </c>
      <c r="V176" s="41">
        <v>0</v>
      </c>
      <c r="W176" s="41">
        <v>0</v>
      </c>
      <c r="X176" s="41">
        <v>1526.28</v>
      </c>
      <c r="Y176" s="58">
        <v>1526.28</v>
      </c>
      <c r="Z176" s="41">
        <v>0</v>
      </c>
      <c r="AA176" s="41">
        <v>0</v>
      </c>
      <c r="AB176" s="41">
        <v>0</v>
      </c>
      <c r="AC176" s="41">
        <v>0</v>
      </c>
      <c r="AD176" s="161">
        <v>0</v>
      </c>
    </row>
    <row r="177" spans="1:71" s="15" customFormat="1" x14ac:dyDescent="0.3">
      <c r="A177" s="53">
        <v>4227</v>
      </c>
      <c r="B177" s="26" t="s">
        <v>43</v>
      </c>
      <c r="C177" s="78">
        <v>1000</v>
      </c>
      <c r="D177" s="78">
        <v>0</v>
      </c>
      <c r="E177" s="78">
        <v>0</v>
      </c>
      <c r="F177" s="78">
        <v>0</v>
      </c>
      <c r="G177" s="78">
        <v>0</v>
      </c>
      <c r="H177" s="38">
        <v>0</v>
      </c>
      <c r="I177" s="38">
        <v>0</v>
      </c>
      <c r="J177" s="68">
        <v>0</v>
      </c>
      <c r="K177" s="68">
        <v>0</v>
      </c>
      <c r="L177" s="38">
        <v>0</v>
      </c>
      <c r="M177" s="38">
        <v>0</v>
      </c>
      <c r="N177" s="198">
        <v>1000</v>
      </c>
      <c r="O177" s="72">
        <v>0</v>
      </c>
      <c r="P177" s="38">
        <v>0</v>
      </c>
      <c r="Q177" s="68">
        <v>0</v>
      </c>
      <c r="R177" s="6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0</v>
      </c>
      <c r="AD177" s="170">
        <v>0</v>
      </c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</row>
    <row r="178" spans="1:71" s="15" customFormat="1" ht="19.5" thickBot="1" x14ac:dyDescent="0.35">
      <c r="A178" s="56">
        <v>42273</v>
      </c>
      <c r="B178" s="126" t="s">
        <v>142</v>
      </c>
      <c r="C178" s="77">
        <v>1000</v>
      </c>
      <c r="D178" s="77">
        <v>0</v>
      </c>
      <c r="E178" s="77">
        <v>0</v>
      </c>
      <c r="F178" s="77">
        <v>0</v>
      </c>
      <c r="G178" s="77">
        <v>0</v>
      </c>
      <c r="H178" s="39">
        <v>0</v>
      </c>
      <c r="I178" s="39">
        <v>0</v>
      </c>
      <c r="J178" s="67">
        <v>0</v>
      </c>
      <c r="K178" s="67">
        <v>0</v>
      </c>
      <c r="L178" s="39">
        <v>0</v>
      </c>
      <c r="M178" s="39">
        <v>0</v>
      </c>
      <c r="N178" s="202">
        <v>1000</v>
      </c>
      <c r="O178" s="92">
        <v>0</v>
      </c>
      <c r="P178" s="39">
        <v>0</v>
      </c>
      <c r="Q178" s="67">
        <v>0</v>
      </c>
      <c r="R178" s="67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0</v>
      </c>
      <c r="AC178" s="39">
        <v>0</v>
      </c>
      <c r="AD178" s="173">
        <v>0</v>
      </c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</row>
    <row r="179" spans="1:71" s="11" customFormat="1" ht="19.5" thickBot="1" x14ac:dyDescent="0.35">
      <c r="A179" s="43">
        <v>424</v>
      </c>
      <c r="B179" s="125" t="s">
        <v>15</v>
      </c>
      <c r="C179" s="89">
        <v>900</v>
      </c>
      <c r="D179" s="89">
        <v>0</v>
      </c>
      <c r="E179" s="89">
        <f>D179/C179*100</f>
        <v>0</v>
      </c>
      <c r="F179" s="89">
        <f>698.99/7.5345</f>
        <v>92.771915853739458</v>
      </c>
      <c r="G179" s="89">
        <f t="shared" si="15"/>
        <v>0</v>
      </c>
      <c r="H179" s="45">
        <v>0</v>
      </c>
      <c r="I179" s="45">
        <v>0</v>
      </c>
      <c r="J179" s="71">
        <v>0</v>
      </c>
      <c r="K179" s="71">
        <v>0</v>
      </c>
      <c r="L179" s="45">
        <v>0</v>
      </c>
      <c r="M179" s="45">
        <v>0</v>
      </c>
      <c r="N179" s="200">
        <v>0</v>
      </c>
      <c r="O179" s="90">
        <v>0</v>
      </c>
      <c r="P179" s="45">
        <v>0</v>
      </c>
      <c r="Q179" s="71">
        <v>900</v>
      </c>
      <c r="R179" s="71">
        <v>0</v>
      </c>
      <c r="S179" s="45">
        <v>0</v>
      </c>
      <c r="T179" s="45">
        <v>0</v>
      </c>
      <c r="U179" s="45">
        <v>0</v>
      </c>
      <c r="V179" s="45">
        <v>0</v>
      </c>
      <c r="W179" s="45">
        <v>0</v>
      </c>
      <c r="X179" s="45">
        <v>0</v>
      </c>
      <c r="Y179" s="45">
        <v>0</v>
      </c>
      <c r="Z179" s="45">
        <v>0</v>
      </c>
      <c r="AA179" s="45">
        <v>0</v>
      </c>
      <c r="AB179" s="45">
        <v>0</v>
      </c>
      <c r="AC179" s="45">
        <v>0</v>
      </c>
      <c r="AD179" s="159">
        <v>0</v>
      </c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</row>
    <row r="180" spans="1:71" s="23" customFormat="1" x14ac:dyDescent="0.3">
      <c r="A180" s="108">
        <v>4241</v>
      </c>
      <c r="B180" s="124" t="s">
        <v>44</v>
      </c>
      <c r="C180" s="110">
        <v>900</v>
      </c>
      <c r="D180" s="110">
        <v>0</v>
      </c>
      <c r="E180" s="110">
        <f>D180/C180*100</f>
        <v>0</v>
      </c>
      <c r="F180" s="110">
        <f>698.99/7.5345</f>
        <v>92.771915853739458</v>
      </c>
      <c r="G180" s="110">
        <f t="shared" si="15"/>
        <v>0</v>
      </c>
      <c r="H180" s="128">
        <v>0</v>
      </c>
      <c r="I180" s="128">
        <v>0</v>
      </c>
      <c r="J180" s="127">
        <v>0</v>
      </c>
      <c r="K180" s="127">
        <v>0</v>
      </c>
      <c r="L180" s="128">
        <v>0</v>
      </c>
      <c r="M180" s="128">
        <v>0</v>
      </c>
      <c r="N180" s="194">
        <v>0</v>
      </c>
      <c r="O180" s="114">
        <v>0</v>
      </c>
      <c r="P180" s="128">
        <v>0</v>
      </c>
      <c r="Q180" s="127">
        <v>900</v>
      </c>
      <c r="R180" s="127">
        <v>0</v>
      </c>
      <c r="S180" s="128">
        <v>0</v>
      </c>
      <c r="T180" s="128">
        <v>0</v>
      </c>
      <c r="U180" s="128">
        <v>0</v>
      </c>
      <c r="V180" s="128">
        <v>0</v>
      </c>
      <c r="W180" s="128">
        <v>0</v>
      </c>
      <c r="X180" s="128">
        <v>0</v>
      </c>
      <c r="Y180" s="128">
        <v>0</v>
      </c>
      <c r="Z180" s="128">
        <v>0</v>
      </c>
      <c r="AA180" s="128">
        <v>0</v>
      </c>
      <c r="AB180" s="128">
        <v>0</v>
      </c>
      <c r="AC180" s="128">
        <v>0</v>
      </c>
      <c r="AD180" s="175">
        <v>0</v>
      </c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</row>
    <row r="181" spans="1:71" s="12" customFormat="1" x14ac:dyDescent="0.3">
      <c r="A181" s="55">
        <v>42411</v>
      </c>
      <c r="B181" s="27" t="s">
        <v>44</v>
      </c>
      <c r="C181" s="80">
        <v>900</v>
      </c>
      <c r="D181" s="80">
        <v>0</v>
      </c>
      <c r="E181" s="80">
        <f>D181/C181*100</f>
        <v>0</v>
      </c>
      <c r="F181" s="80">
        <f>698.99/7.5345</f>
        <v>92.771915853739458</v>
      </c>
      <c r="G181" s="80">
        <f t="shared" si="15"/>
        <v>0</v>
      </c>
      <c r="H181" s="40">
        <v>0</v>
      </c>
      <c r="I181" s="40">
        <v>0</v>
      </c>
      <c r="J181" s="69">
        <v>0</v>
      </c>
      <c r="K181" s="69">
        <v>0</v>
      </c>
      <c r="L181" s="40">
        <v>0</v>
      </c>
      <c r="M181" s="40">
        <v>0</v>
      </c>
      <c r="N181" s="195">
        <v>0</v>
      </c>
      <c r="O181" s="73">
        <v>0</v>
      </c>
      <c r="P181" s="40">
        <v>0</v>
      </c>
      <c r="Q181" s="69">
        <v>900</v>
      </c>
      <c r="R181" s="69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  <c r="AC181" s="40">
        <v>0</v>
      </c>
      <c r="AD181" s="172">
        <v>0</v>
      </c>
    </row>
    <row r="182" spans="1:71" s="15" customFormat="1" x14ac:dyDescent="0.3">
      <c r="A182" s="53">
        <v>4242</v>
      </c>
      <c r="B182" s="26" t="s">
        <v>57</v>
      </c>
      <c r="C182" s="78">
        <v>0</v>
      </c>
      <c r="D182" s="78">
        <v>0</v>
      </c>
      <c r="E182" s="78">
        <v>0</v>
      </c>
      <c r="F182" s="78">
        <v>0</v>
      </c>
      <c r="G182" s="78">
        <v>0</v>
      </c>
      <c r="H182" s="38">
        <v>0</v>
      </c>
      <c r="I182" s="38">
        <v>0</v>
      </c>
      <c r="J182" s="68">
        <v>0</v>
      </c>
      <c r="K182" s="68">
        <v>0</v>
      </c>
      <c r="L182" s="38">
        <v>0</v>
      </c>
      <c r="M182" s="38">
        <v>0</v>
      </c>
      <c r="N182" s="198">
        <v>0</v>
      </c>
      <c r="O182" s="72">
        <v>0</v>
      </c>
      <c r="P182" s="38">
        <v>0</v>
      </c>
      <c r="Q182" s="68">
        <v>0</v>
      </c>
      <c r="R182" s="6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170">
        <v>0</v>
      </c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</row>
    <row r="183" spans="1:71" ht="19.5" thickBot="1" x14ac:dyDescent="0.35">
      <c r="A183" s="52">
        <v>42421</v>
      </c>
      <c r="B183" s="129" t="s">
        <v>113</v>
      </c>
      <c r="C183" s="77">
        <v>0</v>
      </c>
      <c r="D183" s="77">
        <v>0</v>
      </c>
      <c r="E183" s="77">
        <v>0</v>
      </c>
      <c r="F183" s="77">
        <v>0</v>
      </c>
      <c r="G183" s="77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199">
        <v>0</v>
      </c>
      <c r="O183" s="75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  <c r="Z183" s="42">
        <v>0</v>
      </c>
      <c r="AA183" s="42">
        <v>0</v>
      </c>
      <c r="AB183" s="42">
        <v>0</v>
      </c>
      <c r="AC183" s="42">
        <v>0</v>
      </c>
      <c r="AD183" s="162">
        <v>0</v>
      </c>
    </row>
    <row r="184" spans="1:71" s="11" customFormat="1" ht="19.5" thickBot="1" x14ac:dyDescent="0.35">
      <c r="A184" s="43">
        <v>426</v>
      </c>
      <c r="B184" s="125" t="s">
        <v>20</v>
      </c>
      <c r="C184" s="89">
        <v>0</v>
      </c>
      <c r="D184" s="89">
        <v>0</v>
      </c>
      <c r="E184" s="89">
        <v>0</v>
      </c>
      <c r="F184" s="89">
        <v>0</v>
      </c>
      <c r="G184" s="89">
        <v>0</v>
      </c>
      <c r="H184" s="45">
        <v>0</v>
      </c>
      <c r="I184" s="45">
        <v>0</v>
      </c>
      <c r="J184" s="71">
        <v>0</v>
      </c>
      <c r="K184" s="71">
        <v>0</v>
      </c>
      <c r="L184" s="45">
        <v>0</v>
      </c>
      <c r="M184" s="45">
        <v>0</v>
      </c>
      <c r="N184" s="200">
        <v>0</v>
      </c>
      <c r="O184" s="90">
        <v>0</v>
      </c>
      <c r="P184" s="45">
        <v>0</v>
      </c>
      <c r="Q184" s="71">
        <v>0</v>
      </c>
      <c r="R184" s="71">
        <v>0</v>
      </c>
      <c r="S184" s="45">
        <v>0</v>
      </c>
      <c r="T184" s="45">
        <v>0</v>
      </c>
      <c r="U184" s="45">
        <v>0</v>
      </c>
      <c r="V184" s="45">
        <v>0</v>
      </c>
      <c r="W184" s="45">
        <v>0</v>
      </c>
      <c r="X184" s="45">
        <v>0</v>
      </c>
      <c r="Y184" s="45">
        <v>0</v>
      </c>
      <c r="Z184" s="45">
        <v>0</v>
      </c>
      <c r="AA184" s="45">
        <v>0</v>
      </c>
      <c r="AB184" s="45">
        <v>0</v>
      </c>
      <c r="AC184" s="45">
        <v>0</v>
      </c>
      <c r="AD184" s="159">
        <v>0</v>
      </c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</row>
    <row r="185" spans="1:71" s="15" customFormat="1" x14ac:dyDescent="0.3">
      <c r="A185" s="108">
        <v>4262</v>
      </c>
      <c r="B185" s="124" t="s">
        <v>20</v>
      </c>
      <c r="C185" s="110">
        <v>0</v>
      </c>
      <c r="D185" s="110">
        <v>0</v>
      </c>
      <c r="E185" s="110">
        <v>0</v>
      </c>
      <c r="F185" s="110">
        <v>0</v>
      </c>
      <c r="G185" s="110">
        <v>0</v>
      </c>
      <c r="H185" s="119">
        <v>0</v>
      </c>
      <c r="I185" s="119">
        <v>0</v>
      </c>
      <c r="J185" s="118">
        <v>0</v>
      </c>
      <c r="K185" s="118">
        <v>0</v>
      </c>
      <c r="L185" s="119">
        <v>0</v>
      </c>
      <c r="M185" s="119">
        <v>0</v>
      </c>
      <c r="N185" s="194">
        <v>0</v>
      </c>
      <c r="O185" s="114">
        <v>0</v>
      </c>
      <c r="P185" s="119">
        <v>0</v>
      </c>
      <c r="Q185" s="118">
        <v>0</v>
      </c>
      <c r="R185" s="118">
        <v>0</v>
      </c>
      <c r="S185" s="119">
        <v>0</v>
      </c>
      <c r="T185" s="119">
        <v>0</v>
      </c>
      <c r="U185" s="119">
        <v>0</v>
      </c>
      <c r="V185" s="119">
        <v>0</v>
      </c>
      <c r="W185" s="119">
        <v>0</v>
      </c>
      <c r="X185" s="119">
        <v>0</v>
      </c>
      <c r="Y185" s="119">
        <v>0</v>
      </c>
      <c r="Z185" s="119">
        <v>0</v>
      </c>
      <c r="AA185" s="119">
        <v>0</v>
      </c>
      <c r="AB185" s="119">
        <v>0</v>
      </c>
      <c r="AC185" s="119">
        <v>0</v>
      </c>
      <c r="AD185" s="171">
        <v>0</v>
      </c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</row>
    <row r="186" spans="1:71" ht="19.5" thickBot="1" x14ac:dyDescent="0.35">
      <c r="A186" s="52">
        <v>42621</v>
      </c>
      <c r="B186" s="129" t="s">
        <v>20</v>
      </c>
      <c r="C186" s="77">
        <v>0</v>
      </c>
      <c r="D186" s="77">
        <v>0</v>
      </c>
      <c r="E186" s="77">
        <v>0</v>
      </c>
      <c r="F186" s="77">
        <v>0</v>
      </c>
      <c r="G186" s="77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199">
        <v>0</v>
      </c>
      <c r="O186" s="75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  <c r="Z186" s="42">
        <v>0</v>
      </c>
      <c r="AA186" s="42">
        <v>0</v>
      </c>
      <c r="AB186" s="42">
        <v>0</v>
      </c>
      <c r="AC186" s="42">
        <v>0</v>
      </c>
      <c r="AD186" s="162">
        <v>0</v>
      </c>
    </row>
    <row r="187" spans="1:71" ht="19.5" thickBot="1" x14ac:dyDescent="0.35">
      <c r="A187" s="130"/>
      <c r="B187" s="131" t="s">
        <v>17</v>
      </c>
      <c r="C187" s="89">
        <v>1780370.88</v>
      </c>
      <c r="D187" s="89">
        <v>684411.25000000012</v>
      </c>
      <c r="E187" s="89">
        <f>D187/C187*100</f>
        <v>38.442060454280188</v>
      </c>
      <c r="F187" s="89">
        <f>4848068.29/7.5345</f>
        <v>643449.23883469368</v>
      </c>
      <c r="G187" s="89">
        <f t="shared" si="15"/>
        <v>106.36600506972233</v>
      </c>
      <c r="H187" s="106">
        <v>90000</v>
      </c>
      <c r="I187" s="106">
        <f>I6</f>
        <v>58306.340000000004</v>
      </c>
      <c r="J187" s="71">
        <v>124390</v>
      </c>
      <c r="K187" s="71">
        <f>K6</f>
        <v>51437.65</v>
      </c>
      <c r="L187" s="45">
        <v>2000</v>
      </c>
      <c r="M187" s="45">
        <v>0</v>
      </c>
      <c r="N187" s="200">
        <v>125304.92</v>
      </c>
      <c r="O187" s="90">
        <f>O156+O6</f>
        <v>40146.07</v>
      </c>
      <c r="P187" s="45">
        <v>0</v>
      </c>
      <c r="Q187" s="71">
        <v>1427741.68</v>
      </c>
      <c r="R187" s="71">
        <f>R6+R156</f>
        <v>528804.24000000011</v>
      </c>
      <c r="S187" s="71">
        <v>1348</v>
      </c>
      <c r="T187" s="71">
        <f>T6</f>
        <v>611.24</v>
      </c>
      <c r="U187" s="45">
        <f>U6</f>
        <v>20</v>
      </c>
      <c r="V187" s="45">
        <f>V6</f>
        <v>5.51</v>
      </c>
      <c r="W187" s="45">
        <v>0</v>
      </c>
      <c r="X187" s="45">
        <v>1526.28</v>
      </c>
      <c r="Y187" s="45">
        <f>Y156</f>
        <v>1526.28</v>
      </c>
      <c r="Z187" s="45">
        <v>0</v>
      </c>
      <c r="AA187" s="45">
        <v>7642</v>
      </c>
      <c r="AB187" s="45">
        <f>AB6</f>
        <v>3463.77</v>
      </c>
      <c r="AC187" s="45">
        <f>AC6</f>
        <v>398</v>
      </c>
      <c r="AD187" s="159">
        <f>AD6</f>
        <v>110.15</v>
      </c>
    </row>
    <row r="188" spans="1:71" s="10" customFormat="1" ht="14.25" customHeight="1" thickBot="1" x14ac:dyDescent="0.35">
      <c r="A188" s="28"/>
      <c r="B188" s="29"/>
      <c r="C188" s="5"/>
      <c r="D188" s="5"/>
      <c r="E188" s="5"/>
      <c r="F188" s="5"/>
      <c r="G188" s="5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</row>
    <row r="189" spans="1:71" s="10" customFormat="1" ht="14.25" customHeight="1" x14ac:dyDescent="0.3">
      <c r="A189" s="313" t="s">
        <v>163</v>
      </c>
      <c r="B189" s="314"/>
      <c r="C189" s="314"/>
      <c r="D189" s="314"/>
      <c r="E189" s="314"/>
      <c r="F189" s="314"/>
      <c r="G189" s="314"/>
      <c r="H189" s="314"/>
      <c r="I189" s="314"/>
      <c r="J189" s="314"/>
      <c r="K189" s="314"/>
      <c r="L189" s="315"/>
      <c r="M189" s="153"/>
      <c r="N189" s="322">
        <v>-12000</v>
      </c>
      <c r="O189" s="325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</row>
    <row r="190" spans="1:71" s="10" customFormat="1" ht="14.25" customHeight="1" x14ac:dyDescent="0.3">
      <c r="A190" s="316"/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8"/>
      <c r="M190" s="154"/>
      <c r="N190" s="323"/>
      <c r="O190" s="325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</row>
    <row r="191" spans="1:71" s="10" customFormat="1" ht="14.25" customHeight="1" thickBot="1" x14ac:dyDescent="0.35">
      <c r="A191" s="319"/>
      <c r="B191" s="320"/>
      <c r="C191" s="320"/>
      <c r="D191" s="320"/>
      <c r="E191" s="320"/>
      <c r="F191" s="320"/>
      <c r="G191" s="320"/>
      <c r="H191" s="320"/>
      <c r="I191" s="320"/>
      <c r="J191" s="320"/>
      <c r="K191" s="320"/>
      <c r="L191" s="321"/>
      <c r="M191" s="155"/>
      <c r="N191" s="324"/>
      <c r="O191" s="325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</row>
    <row r="192" spans="1:71" s="10" customFormat="1" ht="14.25" customHeight="1" x14ac:dyDescent="0.3">
      <c r="A192" s="28"/>
      <c r="B192" s="29"/>
      <c r="C192" s="5"/>
      <c r="D192" s="5"/>
      <c r="E192" s="5"/>
      <c r="F192" s="5"/>
      <c r="G192" s="5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</row>
    <row r="193" spans="1:29" s="10" customFormat="1" ht="14.25" customHeight="1" x14ac:dyDescent="0.35">
      <c r="A193" s="46"/>
      <c r="B193" s="47"/>
      <c r="C193" s="5"/>
      <c r="D193" s="5"/>
      <c r="E193" s="5"/>
      <c r="F193" s="5"/>
      <c r="G193" s="5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</row>
    <row r="194" spans="1:29" x14ac:dyDescent="0.3">
      <c r="A194" s="312" t="s">
        <v>203</v>
      </c>
      <c r="B194" s="312"/>
      <c r="C194" s="145"/>
      <c r="D194" s="145"/>
      <c r="E194" s="145"/>
      <c r="F194" s="145"/>
      <c r="G194" s="145"/>
      <c r="H194" s="146"/>
      <c r="I194" s="146"/>
      <c r="J194" s="147"/>
      <c r="K194" s="147"/>
      <c r="L194" s="310" t="s">
        <v>202</v>
      </c>
      <c r="M194" s="310"/>
      <c r="N194" s="310"/>
      <c r="O194" s="156"/>
      <c r="P194" s="142"/>
      <c r="Q194" s="9"/>
      <c r="R194" s="9"/>
      <c r="S194" s="9"/>
      <c r="T194" s="9"/>
      <c r="U194" s="9"/>
      <c r="V194" s="9"/>
      <c r="W194" s="9"/>
      <c r="X194" s="9"/>
      <c r="Y194" s="9"/>
    </row>
    <row r="195" spans="1:29" x14ac:dyDescent="0.3">
      <c r="A195" s="150"/>
      <c r="B195" s="151"/>
      <c r="C195" s="145"/>
      <c r="D195" s="145"/>
      <c r="E195" s="145"/>
      <c r="F195" s="145"/>
      <c r="G195" s="145"/>
      <c r="H195" s="31" t="s">
        <v>8</v>
      </c>
      <c r="I195" s="31"/>
      <c r="J195" s="147"/>
      <c r="K195" s="147"/>
      <c r="L195" s="143"/>
      <c r="M195" s="156"/>
      <c r="N195" s="144"/>
      <c r="O195" s="144"/>
      <c r="P195" s="142"/>
      <c r="Q195" s="9"/>
      <c r="R195" s="9"/>
      <c r="S195" s="9"/>
      <c r="T195" s="9"/>
      <c r="U195" s="9"/>
      <c r="V195" s="9"/>
      <c r="W195" s="9"/>
      <c r="X195" s="9"/>
      <c r="Y195" s="9"/>
      <c r="Z195" s="32"/>
      <c r="AA195" s="32"/>
      <c r="AB195" s="32"/>
      <c r="AC195" s="32"/>
    </row>
    <row r="196" spans="1:29" x14ac:dyDescent="0.3">
      <c r="A196" s="312" t="s">
        <v>140</v>
      </c>
      <c r="B196" s="312"/>
      <c r="C196" s="145"/>
      <c r="D196" s="145"/>
      <c r="E196" s="145"/>
      <c r="F196" s="145"/>
      <c r="G196" s="145"/>
      <c r="H196" s="146"/>
      <c r="I196" s="146"/>
      <c r="J196" s="147"/>
      <c r="K196" s="147"/>
      <c r="L196" s="310" t="s">
        <v>140</v>
      </c>
      <c r="M196" s="310"/>
      <c r="N196" s="310"/>
      <c r="O196" s="156"/>
      <c r="P196" s="142"/>
      <c r="Q196" s="9"/>
      <c r="R196" s="9"/>
      <c r="S196" s="9"/>
      <c r="T196" s="9"/>
      <c r="U196" s="9"/>
      <c r="V196" s="9"/>
      <c r="W196" s="9"/>
      <c r="X196" s="9"/>
      <c r="Y196" s="9"/>
      <c r="Z196" s="32"/>
      <c r="AA196" s="32"/>
      <c r="AB196" s="32"/>
      <c r="AC196" s="32"/>
    </row>
    <row r="197" spans="1:29" ht="25.5" customHeight="1" x14ac:dyDescent="0.3">
      <c r="A197" s="311" t="s">
        <v>206</v>
      </c>
      <c r="B197" s="311"/>
      <c r="C197" s="148" t="s">
        <v>249</v>
      </c>
      <c r="D197" s="148"/>
      <c r="E197" s="148"/>
      <c r="F197" s="148"/>
      <c r="G197" s="148"/>
      <c r="H197" s="146"/>
      <c r="I197" s="146"/>
      <c r="J197" s="147"/>
      <c r="K197" s="147"/>
      <c r="L197" s="311" t="s">
        <v>207</v>
      </c>
      <c r="M197" s="311"/>
      <c r="N197" s="311"/>
      <c r="O197" s="152"/>
      <c r="P197" s="142"/>
      <c r="Q197" s="4"/>
      <c r="R197" s="4"/>
      <c r="S197" s="4"/>
      <c r="T197" s="4"/>
      <c r="U197" s="4"/>
      <c r="V197" s="4"/>
      <c r="W197" s="4"/>
      <c r="X197" s="4"/>
      <c r="Y197" s="4"/>
    </row>
    <row r="198" spans="1:29" ht="25.5" customHeight="1" x14ac:dyDescent="0.3">
      <c r="A198" s="311"/>
      <c r="B198" s="311"/>
      <c r="C198" s="149"/>
      <c r="D198" s="149"/>
      <c r="E198" s="149"/>
      <c r="F198" s="149"/>
      <c r="G198" s="149"/>
      <c r="H198" s="146"/>
      <c r="I198" s="146"/>
      <c r="J198" s="147"/>
      <c r="K198" s="147"/>
      <c r="L198" s="311"/>
      <c r="M198" s="311"/>
      <c r="N198" s="311"/>
      <c r="O198" s="152"/>
      <c r="P198" s="142"/>
      <c r="Q198" s="4"/>
      <c r="R198" s="4"/>
      <c r="S198" s="4"/>
      <c r="T198" s="4"/>
      <c r="U198" s="4"/>
      <c r="V198" s="4"/>
      <c r="W198" s="4"/>
      <c r="X198" s="4"/>
      <c r="Y198" s="4"/>
    </row>
    <row r="199" spans="1:29" ht="26.25" x14ac:dyDescent="0.4">
      <c r="A199" s="48"/>
      <c r="B199" s="49"/>
      <c r="H199" s="300"/>
      <c r="I199" s="33"/>
      <c r="J199" s="33"/>
      <c r="K199" s="33"/>
      <c r="L199" s="142"/>
      <c r="M199" s="142"/>
      <c r="N199" s="142"/>
      <c r="O199" s="142"/>
      <c r="P199" s="142"/>
      <c r="Q199" s="3"/>
      <c r="R199" s="3"/>
      <c r="S199" s="3"/>
      <c r="T199" s="3"/>
      <c r="U199" s="3"/>
      <c r="V199" s="3"/>
      <c r="W199" s="3"/>
      <c r="X199" s="3"/>
      <c r="Y199" s="3"/>
    </row>
    <row r="200" spans="1:29" ht="26.25" x14ac:dyDescent="0.4">
      <c r="A200" s="144" t="s">
        <v>251</v>
      </c>
      <c r="B200" s="50"/>
      <c r="J200" s="8"/>
      <c r="K200" s="8"/>
      <c r="L200" s="142"/>
      <c r="M200" s="142"/>
      <c r="N200" s="142"/>
      <c r="O200" s="142"/>
      <c r="P200" s="142"/>
    </row>
    <row r="201" spans="1:29" x14ac:dyDescent="0.3">
      <c r="A201" s="299" t="s">
        <v>252</v>
      </c>
      <c r="J201" s="8"/>
      <c r="K201" s="8"/>
      <c r="L201" s="142"/>
      <c r="M201" s="142"/>
      <c r="N201" s="142"/>
      <c r="O201" s="142"/>
      <c r="P201" s="142"/>
    </row>
  </sheetData>
  <mergeCells count="9">
    <mergeCell ref="A1:AD3"/>
    <mergeCell ref="L196:N196"/>
    <mergeCell ref="L197:N198"/>
    <mergeCell ref="A197:B198"/>
    <mergeCell ref="A196:B196"/>
    <mergeCell ref="A194:B194"/>
    <mergeCell ref="A189:L191"/>
    <mergeCell ref="N189:N191"/>
    <mergeCell ref="L194:N194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G68"/>
  <sheetViews>
    <sheetView tabSelected="1" topLeftCell="A22" workbookViewId="0">
      <selection activeCell="G57" sqref="G57"/>
    </sheetView>
  </sheetViews>
  <sheetFormatPr defaultRowHeight="12.75" x14ac:dyDescent="0.2"/>
  <cols>
    <col min="1" max="1" width="18.85546875" customWidth="1"/>
    <col min="2" max="2" width="115.7109375" customWidth="1"/>
    <col min="3" max="5" width="21.7109375" style="141" customWidth="1"/>
    <col min="6" max="7" width="21.7109375" customWidth="1"/>
  </cols>
  <sheetData>
    <row r="1" spans="1:7" ht="54.75" thickBot="1" x14ac:dyDescent="0.25">
      <c r="A1" s="203" t="s">
        <v>248</v>
      </c>
      <c r="B1" s="204" t="s">
        <v>169</v>
      </c>
      <c r="C1" s="205" t="s">
        <v>214</v>
      </c>
      <c r="D1" s="205" t="s">
        <v>211</v>
      </c>
      <c r="E1" s="205" t="s">
        <v>212</v>
      </c>
      <c r="F1" s="205" t="s">
        <v>210</v>
      </c>
      <c r="G1" s="206" t="s">
        <v>213</v>
      </c>
    </row>
    <row r="2" spans="1:7" ht="18.75" customHeight="1" thickBot="1" x14ac:dyDescent="0.25">
      <c r="A2" s="218">
        <v>6</v>
      </c>
      <c r="B2" s="219" t="s">
        <v>220</v>
      </c>
      <c r="C2" s="220">
        <f>C3+C16+C22+C26+C36+C43</f>
        <v>1762952.45</v>
      </c>
      <c r="D2" s="221">
        <f>D3+D16+D22+D26+D36+D43</f>
        <v>686619.16999999993</v>
      </c>
      <c r="E2" s="221">
        <f>D2/C2*100</f>
        <v>38.947117944105635</v>
      </c>
      <c r="F2" s="221">
        <f>F3+F16+F22+F26+F36+F43</f>
        <v>613975.23525117792</v>
      </c>
      <c r="G2" s="222">
        <f t="shared" ref="G2:G33" si="0">D2/F2*100</f>
        <v>111.83173694605179</v>
      </c>
    </row>
    <row r="3" spans="1:7" s="141" customFormat="1" ht="18.75" customHeight="1" thickBot="1" x14ac:dyDescent="0.25">
      <c r="A3" s="225">
        <v>63</v>
      </c>
      <c r="B3" s="226" t="s">
        <v>221</v>
      </c>
      <c r="C3" s="223">
        <f>C4+C10</f>
        <v>1439149.68</v>
      </c>
      <c r="D3" s="227">
        <f>D4+D10</f>
        <v>535073.4</v>
      </c>
      <c r="E3" s="227">
        <f>D3/C3*100</f>
        <v>37.179829689431614</v>
      </c>
      <c r="F3" s="224">
        <f>F4+F10</f>
        <v>461041.42942464666</v>
      </c>
      <c r="G3" s="228">
        <f t="shared" si="0"/>
        <v>116.05755271662701</v>
      </c>
    </row>
    <row r="4" spans="1:7" s="141" customFormat="1" ht="20.25" customHeight="1" thickBot="1" x14ac:dyDescent="0.25">
      <c r="A4" s="225">
        <v>636</v>
      </c>
      <c r="B4" s="226" t="s">
        <v>222</v>
      </c>
      <c r="C4" s="223">
        <f>C5+C8</f>
        <v>1429741.68</v>
      </c>
      <c r="D4" s="227">
        <f>D5+D8</f>
        <v>531032.13</v>
      </c>
      <c r="E4" s="227">
        <f>D4/C4*100</f>
        <v>37.141823409666564</v>
      </c>
      <c r="F4" s="224">
        <f>F5</f>
        <v>458033.6969938284</v>
      </c>
      <c r="G4" s="228">
        <f t="shared" si="0"/>
        <v>115.93734991230464</v>
      </c>
    </row>
    <row r="5" spans="1:7" s="141" customFormat="1" ht="20.25" customHeight="1" thickBot="1" x14ac:dyDescent="0.25">
      <c r="A5" s="255">
        <v>6361</v>
      </c>
      <c r="B5" s="256" t="s">
        <v>223</v>
      </c>
      <c r="C5" s="257">
        <f>C6+C7</f>
        <v>1424860</v>
      </c>
      <c r="D5" s="258">
        <f>D6</f>
        <v>527050.44999999995</v>
      </c>
      <c r="E5" s="258">
        <f>D5/C5*100</f>
        <v>36.989630560195387</v>
      </c>
      <c r="F5" s="259">
        <f>F6</f>
        <v>458033.6969938284</v>
      </c>
      <c r="G5" s="260">
        <f t="shared" si="0"/>
        <v>115.06805142484997</v>
      </c>
    </row>
    <row r="6" spans="1:7" ht="18" x14ac:dyDescent="0.2">
      <c r="A6" s="229">
        <v>63612</v>
      </c>
      <c r="B6" s="230" t="s">
        <v>170</v>
      </c>
      <c r="C6" s="231">
        <v>1422860</v>
      </c>
      <c r="D6" s="232">
        <v>527050.44999999995</v>
      </c>
      <c r="E6" s="232">
        <f t="shared" ref="E6:E19" si="1">D6/C6*100</f>
        <v>37.041623912401775</v>
      </c>
      <c r="F6" s="231">
        <f>3451054.89/7.5345</f>
        <v>458033.6969938284</v>
      </c>
      <c r="G6" s="233">
        <f t="shared" si="0"/>
        <v>115.06805142484997</v>
      </c>
    </row>
    <row r="7" spans="1:7" ht="18.75" thickBot="1" x14ac:dyDescent="0.25">
      <c r="A7" s="234">
        <v>636131</v>
      </c>
      <c r="B7" s="235" t="s">
        <v>171</v>
      </c>
      <c r="C7" s="181">
        <v>2000</v>
      </c>
      <c r="D7" s="236">
        <v>0</v>
      </c>
      <c r="E7" s="236">
        <f t="shared" si="1"/>
        <v>0</v>
      </c>
      <c r="F7" s="181">
        <v>0</v>
      </c>
      <c r="G7" s="237">
        <v>0</v>
      </c>
    </row>
    <row r="8" spans="1:7" s="141" customFormat="1" ht="18.75" thickBot="1" x14ac:dyDescent="0.25">
      <c r="A8" s="261">
        <v>6362</v>
      </c>
      <c r="B8" s="262" t="s">
        <v>224</v>
      </c>
      <c r="C8" s="263">
        <f>C9</f>
        <v>4881.68</v>
      </c>
      <c r="D8" s="264">
        <f>D9</f>
        <v>3981.68</v>
      </c>
      <c r="E8" s="264">
        <f>D8/C8*100</f>
        <v>81.563723963881273</v>
      </c>
      <c r="F8" s="263">
        <v>0</v>
      </c>
      <c r="G8" s="265">
        <v>0</v>
      </c>
    </row>
    <row r="9" spans="1:7" ht="18.75" thickBot="1" x14ac:dyDescent="0.25">
      <c r="A9" s="242">
        <v>63622</v>
      </c>
      <c r="B9" s="243" t="s">
        <v>172</v>
      </c>
      <c r="C9" s="244">
        <v>4881.68</v>
      </c>
      <c r="D9" s="245">
        <v>3981.68</v>
      </c>
      <c r="E9" s="245">
        <f t="shared" si="1"/>
        <v>81.563723963881273</v>
      </c>
      <c r="F9" s="244">
        <v>0</v>
      </c>
      <c r="G9" s="290">
        <v>0</v>
      </c>
    </row>
    <row r="10" spans="1:7" s="141" customFormat="1" ht="18.75" thickBot="1" x14ac:dyDescent="0.25">
      <c r="A10" s="238">
        <v>639</v>
      </c>
      <c r="B10" s="239" t="s">
        <v>225</v>
      </c>
      <c r="C10" s="224">
        <f>C11</f>
        <v>9408</v>
      </c>
      <c r="D10" s="240">
        <f>D11</f>
        <v>4041.2700000000004</v>
      </c>
      <c r="E10" s="240">
        <f>D10/C10*100</f>
        <v>42.95567602040817</v>
      </c>
      <c r="F10" s="224">
        <f>F11</f>
        <v>3007.732430818236</v>
      </c>
      <c r="G10" s="241">
        <f t="shared" si="0"/>
        <v>134.36268328232231</v>
      </c>
    </row>
    <row r="11" spans="1:7" s="141" customFormat="1" ht="18.75" thickBot="1" x14ac:dyDescent="0.25">
      <c r="A11" s="261">
        <v>6393</v>
      </c>
      <c r="B11" s="262" t="s">
        <v>226</v>
      </c>
      <c r="C11" s="263">
        <f>C12+C13+C14+C15</f>
        <v>9408</v>
      </c>
      <c r="D11" s="264">
        <f>D12+D13+D14+D15</f>
        <v>4041.2700000000004</v>
      </c>
      <c r="E11" s="264">
        <f>D11/C11*100</f>
        <v>42.95567602040817</v>
      </c>
      <c r="F11" s="263">
        <f>F12+F13</f>
        <v>3007.732430818236</v>
      </c>
      <c r="G11" s="265">
        <f t="shared" si="0"/>
        <v>134.36268328232231</v>
      </c>
    </row>
    <row r="12" spans="1:7" ht="18" x14ac:dyDescent="0.2">
      <c r="A12" s="207">
        <v>639311</v>
      </c>
      <c r="B12" s="246" t="s">
        <v>183</v>
      </c>
      <c r="C12" s="177">
        <v>7642</v>
      </c>
      <c r="D12" s="177">
        <v>3336.78</v>
      </c>
      <c r="E12" s="177">
        <f t="shared" si="1"/>
        <v>43.663700601936668</v>
      </c>
      <c r="F12" s="177">
        <f>19262.5/7.5345</f>
        <v>2556.5730970867344</v>
      </c>
      <c r="G12" s="291">
        <f t="shared" si="0"/>
        <v>130.51768415314731</v>
      </c>
    </row>
    <row r="13" spans="1:7" ht="18" x14ac:dyDescent="0.2">
      <c r="A13" s="208">
        <v>639312</v>
      </c>
      <c r="B13" s="180" t="s">
        <v>184</v>
      </c>
      <c r="C13" s="179">
        <v>1348</v>
      </c>
      <c r="D13" s="179">
        <v>588.83000000000004</v>
      </c>
      <c r="E13" s="179">
        <f t="shared" si="1"/>
        <v>43.681750741839764</v>
      </c>
      <c r="F13" s="179">
        <f>3399.26/7.5345</f>
        <v>451.15933373150176</v>
      </c>
      <c r="G13" s="187">
        <f t="shared" si="0"/>
        <v>130.51486602966528</v>
      </c>
    </row>
    <row r="14" spans="1:7" s="141" customFormat="1" ht="18" x14ac:dyDescent="0.2">
      <c r="A14" s="208">
        <v>639311</v>
      </c>
      <c r="B14" s="180" t="s">
        <v>185</v>
      </c>
      <c r="C14" s="179">
        <v>398</v>
      </c>
      <c r="D14" s="179">
        <v>110.15</v>
      </c>
      <c r="E14" s="179">
        <f t="shared" si="1"/>
        <v>27.675879396984925</v>
      </c>
      <c r="F14" s="179">
        <v>0</v>
      </c>
      <c r="G14" s="187">
        <v>0</v>
      </c>
    </row>
    <row r="15" spans="1:7" s="141" customFormat="1" ht="18.75" thickBot="1" x14ac:dyDescent="0.25">
      <c r="A15" s="209">
        <v>639312</v>
      </c>
      <c r="B15" s="247" t="s">
        <v>186</v>
      </c>
      <c r="C15" s="211">
        <v>20</v>
      </c>
      <c r="D15" s="211">
        <v>5.51</v>
      </c>
      <c r="E15" s="211">
        <f t="shared" si="1"/>
        <v>27.549999999999997</v>
      </c>
      <c r="F15" s="211">
        <v>0</v>
      </c>
      <c r="G15" s="292">
        <v>0</v>
      </c>
    </row>
    <row r="16" spans="1:7" s="141" customFormat="1" ht="18.75" thickBot="1" x14ac:dyDescent="0.25">
      <c r="A16" s="238">
        <v>64</v>
      </c>
      <c r="B16" s="248" t="s">
        <v>227</v>
      </c>
      <c r="C16" s="224">
        <v>0</v>
      </c>
      <c r="D16" s="224">
        <f>D17</f>
        <v>85.81</v>
      </c>
      <c r="E16" s="224">
        <v>0</v>
      </c>
      <c r="F16" s="224">
        <f>F17</f>
        <v>107.82135509987391</v>
      </c>
      <c r="G16" s="249">
        <f t="shared" si="0"/>
        <v>79.585347374381456</v>
      </c>
    </row>
    <row r="17" spans="1:7" s="141" customFormat="1" ht="18.75" thickBot="1" x14ac:dyDescent="0.25">
      <c r="A17" s="238">
        <v>641</v>
      </c>
      <c r="B17" s="248" t="s">
        <v>228</v>
      </c>
      <c r="C17" s="224">
        <f>C18+C20</f>
        <v>0</v>
      </c>
      <c r="D17" s="224">
        <f>D18</f>
        <v>85.81</v>
      </c>
      <c r="E17" s="224">
        <v>0</v>
      </c>
      <c r="F17" s="224">
        <f>F18</f>
        <v>107.82135509987391</v>
      </c>
      <c r="G17" s="249">
        <f t="shared" si="0"/>
        <v>79.585347374381456</v>
      </c>
    </row>
    <row r="18" spans="1:7" s="141" customFormat="1" ht="18.75" thickBot="1" x14ac:dyDescent="0.25">
      <c r="A18" s="261">
        <v>6414</v>
      </c>
      <c r="B18" s="266" t="s">
        <v>229</v>
      </c>
      <c r="C18" s="263">
        <f>C19</f>
        <v>0</v>
      </c>
      <c r="D18" s="263">
        <f>D19</f>
        <v>85.81</v>
      </c>
      <c r="E18" s="263">
        <v>0</v>
      </c>
      <c r="F18" s="263">
        <f>F19</f>
        <v>107.82135509987391</v>
      </c>
      <c r="G18" s="267">
        <f t="shared" si="0"/>
        <v>79.585347374381456</v>
      </c>
    </row>
    <row r="19" spans="1:7" ht="18.75" thickBot="1" x14ac:dyDescent="0.25">
      <c r="A19" s="242">
        <v>64143</v>
      </c>
      <c r="B19" s="250" t="s">
        <v>173</v>
      </c>
      <c r="C19" s="244">
        <v>0</v>
      </c>
      <c r="D19" s="244">
        <v>85.81</v>
      </c>
      <c r="E19" s="244">
        <v>0</v>
      </c>
      <c r="F19" s="244">
        <f>812.38/7.5345</f>
        <v>107.82135509987391</v>
      </c>
      <c r="G19" s="293">
        <f t="shared" si="0"/>
        <v>79.585347374381456</v>
      </c>
    </row>
    <row r="20" spans="1:7" s="141" customFormat="1" ht="18.75" thickBot="1" x14ac:dyDescent="0.25">
      <c r="A20" s="261">
        <v>6415</v>
      </c>
      <c r="B20" s="266" t="s">
        <v>230</v>
      </c>
      <c r="C20" s="263">
        <f>C21</f>
        <v>0</v>
      </c>
      <c r="D20" s="263">
        <v>0</v>
      </c>
      <c r="E20" s="263">
        <v>0</v>
      </c>
      <c r="F20" s="263">
        <v>0</v>
      </c>
      <c r="G20" s="267">
        <v>0</v>
      </c>
    </row>
    <row r="21" spans="1:7" ht="18.75" thickBot="1" x14ac:dyDescent="0.25">
      <c r="A21" s="242">
        <v>64151</v>
      </c>
      <c r="B21" s="243" t="s">
        <v>174</v>
      </c>
      <c r="C21" s="244">
        <v>0</v>
      </c>
      <c r="D21" s="245">
        <v>0</v>
      </c>
      <c r="E21" s="245">
        <v>0</v>
      </c>
      <c r="F21" s="244">
        <v>0</v>
      </c>
      <c r="G21" s="290">
        <v>0</v>
      </c>
    </row>
    <row r="22" spans="1:7" s="141" customFormat="1" ht="18.75" thickBot="1" x14ac:dyDescent="0.25">
      <c r="A22" s="238">
        <v>65</v>
      </c>
      <c r="B22" s="239" t="s">
        <v>231</v>
      </c>
      <c r="C22" s="224">
        <f>C23</f>
        <v>107212.77</v>
      </c>
      <c r="D22" s="240">
        <f>D23</f>
        <v>51250.13</v>
      </c>
      <c r="E22" s="240">
        <f>D22/C22*100</f>
        <v>47.802262734187352</v>
      </c>
      <c r="F22" s="224">
        <f>F23</f>
        <v>44349.724600172536</v>
      </c>
      <c r="G22" s="241">
        <f t="shared" si="0"/>
        <v>115.55907158846396</v>
      </c>
    </row>
    <row r="23" spans="1:7" s="141" customFormat="1" ht="18.75" thickBot="1" x14ac:dyDescent="0.25">
      <c r="A23" s="238">
        <v>652</v>
      </c>
      <c r="B23" s="239" t="s">
        <v>232</v>
      </c>
      <c r="C23" s="224">
        <f>C24</f>
        <v>107212.77</v>
      </c>
      <c r="D23" s="240">
        <f>D24</f>
        <v>51250.13</v>
      </c>
      <c r="E23" s="240">
        <f>D23/C23*100</f>
        <v>47.802262734187352</v>
      </c>
      <c r="F23" s="224">
        <f>F24</f>
        <v>44349.724600172536</v>
      </c>
      <c r="G23" s="241">
        <f t="shared" si="0"/>
        <v>115.55907158846396</v>
      </c>
    </row>
    <row r="24" spans="1:7" s="141" customFormat="1" ht="18.75" thickBot="1" x14ac:dyDescent="0.25">
      <c r="A24" s="261">
        <v>6526</v>
      </c>
      <c r="B24" s="262" t="s">
        <v>233</v>
      </c>
      <c r="C24" s="263">
        <f>C25</f>
        <v>107212.77</v>
      </c>
      <c r="D24" s="264">
        <f>D25</f>
        <v>51250.13</v>
      </c>
      <c r="E24" s="264">
        <f>D24/C24*100</f>
        <v>47.802262734187352</v>
      </c>
      <c r="F24" s="263">
        <f>F25</f>
        <v>44349.724600172536</v>
      </c>
      <c r="G24" s="265">
        <f t="shared" si="0"/>
        <v>115.55907158846396</v>
      </c>
    </row>
    <row r="25" spans="1:7" ht="18.75" thickBot="1" x14ac:dyDescent="0.25">
      <c r="A25" s="242">
        <v>65264</v>
      </c>
      <c r="B25" s="243" t="s">
        <v>182</v>
      </c>
      <c r="C25" s="244">
        <v>107212.77</v>
      </c>
      <c r="D25" s="245">
        <v>51250.13</v>
      </c>
      <c r="E25" s="245">
        <f t="shared" ref="E25:E40" si="2">D25/C25*100</f>
        <v>47.802262734187352</v>
      </c>
      <c r="F25" s="244">
        <f>334153/7.5345</f>
        <v>44349.724600172536</v>
      </c>
      <c r="G25" s="290">
        <f t="shared" si="0"/>
        <v>115.55907158846396</v>
      </c>
    </row>
    <row r="26" spans="1:7" s="141" customFormat="1" ht="18.75" thickBot="1" x14ac:dyDescent="0.25">
      <c r="A26" s="238">
        <v>66</v>
      </c>
      <c r="B26" s="239" t="s">
        <v>234</v>
      </c>
      <c r="C26" s="224">
        <f>C27</f>
        <v>1700</v>
      </c>
      <c r="D26" s="240">
        <f>D27</f>
        <v>623.69000000000005</v>
      </c>
      <c r="E26" s="240">
        <f>D26/C26*100</f>
        <v>36.687647058823529</v>
      </c>
      <c r="F26" s="224">
        <f>F27+F30</f>
        <v>2216.4695732961709</v>
      </c>
      <c r="G26" s="241">
        <f t="shared" si="0"/>
        <v>28.138892927480796</v>
      </c>
    </row>
    <row r="27" spans="1:7" s="141" customFormat="1" ht="18.75" thickBot="1" x14ac:dyDescent="0.25">
      <c r="A27" s="238">
        <v>661</v>
      </c>
      <c r="B27" s="239" t="s">
        <v>235</v>
      </c>
      <c r="C27" s="224">
        <f>C28</f>
        <v>1700</v>
      </c>
      <c r="D27" s="240">
        <f>D28</f>
        <v>623.69000000000005</v>
      </c>
      <c r="E27" s="240">
        <f>D27/C27*100</f>
        <v>36.687647058823529</v>
      </c>
      <c r="F27" s="224">
        <f>F28</f>
        <v>783.06456964629365</v>
      </c>
      <c r="G27" s="241">
        <f t="shared" si="0"/>
        <v>79.647327203389835</v>
      </c>
    </row>
    <row r="28" spans="1:7" s="141" customFormat="1" ht="18.75" thickBot="1" x14ac:dyDescent="0.25">
      <c r="A28" s="261">
        <v>6615</v>
      </c>
      <c r="B28" s="262" t="s">
        <v>175</v>
      </c>
      <c r="C28" s="263">
        <f>C29</f>
        <v>1700</v>
      </c>
      <c r="D28" s="264">
        <f>D29</f>
        <v>623.69000000000005</v>
      </c>
      <c r="E28" s="264">
        <f>D28/C28*100</f>
        <v>36.687647058823529</v>
      </c>
      <c r="F28" s="263">
        <f>F29</f>
        <v>783.06456964629365</v>
      </c>
      <c r="G28" s="265">
        <f t="shared" si="0"/>
        <v>79.647327203389835</v>
      </c>
    </row>
    <row r="29" spans="1:7" ht="18.75" thickBot="1" x14ac:dyDescent="0.25">
      <c r="A29" s="242">
        <v>66151</v>
      </c>
      <c r="B29" s="243" t="s">
        <v>175</v>
      </c>
      <c r="C29" s="244">
        <v>1700</v>
      </c>
      <c r="D29" s="245">
        <v>623.69000000000005</v>
      </c>
      <c r="E29" s="245">
        <f t="shared" si="2"/>
        <v>36.687647058823529</v>
      </c>
      <c r="F29" s="244">
        <f>5900/7.5345</f>
        <v>783.06456964629365</v>
      </c>
      <c r="G29" s="290">
        <f t="shared" si="0"/>
        <v>79.647327203389835</v>
      </c>
    </row>
    <row r="30" spans="1:7" s="141" customFormat="1" ht="18.75" thickBot="1" x14ac:dyDescent="0.25">
      <c r="A30" s="238">
        <v>663</v>
      </c>
      <c r="B30" s="239" t="s">
        <v>236</v>
      </c>
      <c r="C30" s="224">
        <v>0</v>
      </c>
      <c r="D30" s="240">
        <v>0</v>
      </c>
      <c r="E30" s="240">
        <v>0</v>
      </c>
      <c r="F30" s="224">
        <f>F31</f>
        <v>1433.4050036498772</v>
      </c>
      <c r="G30" s="241">
        <f t="shared" si="0"/>
        <v>0</v>
      </c>
    </row>
    <row r="31" spans="1:7" s="141" customFormat="1" ht="18.75" thickBot="1" x14ac:dyDescent="0.25">
      <c r="A31" s="261">
        <v>6631</v>
      </c>
      <c r="B31" s="262" t="s">
        <v>215</v>
      </c>
      <c r="C31" s="263">
        <f>C32+C33+C34+C35</f>
        <v>0</v>
      </c>
      <c r="D31" s="264">
        <v>0</v>
      </c>
      <c r="E31" s="264">
        <v>0</v>
      </c>
      <c r="F31" s="263">
        <f>F32+F34+F35</f>
        <v>1433.4050036498772</v>
      </c>
      <c r="G31" s="265">
        <f t="shared" si="0"/>
        <v>0</v>
      </c>
    </row>
    <row r="32" spans="1:7" s="141" customFormat="1" ht="18" x14ac:dyDescent="0.2">
      <c r="A32" s="207">
        <v>66311</v>
      </c>
      <c r="B32" s="176" t="s">
        <v>187</v>
      </c>
      <c r="C32" s="177">
        <v>0</v>
      </c>
      <c r="D32" s="183">
        <v>0</v>
      </c>
      <c r="E32" s="183">
        <v>0</v>
      </c>
      <c r="F32" s="177">
        <f>1200/7.5345</f>
        <v>159.26737009755126</v>
      </c>
      <c r="G32" s="184">
        <f t="shared" si="0"/>
        <v>0</v>
      </c>
    </row>
    <row r="33" spans="1:7" s="141" customFormat="1" ht="18" x14ac:dyDescent="0.2">
      <c r="A33" s="208">
        <v>66312</v>
      </c>
      <c r="B33" s="178" t="s">
        <v>188</v>
      </c>
      <c r="C33" s="179">
        <v>0</v>
      </c>
      <c r="D33" s="185">
        <v>0</v>
      </c>
      <c r="E33" s="185">
        <v>0</v>
      </c>
      <c r="F33" s="179">
        <v>0</v>
      </c>
      <c r="G33" s="186">
        <v>0</v>
      </c>
    </row>
    <row r="34" spans="1:7" s="141" customFormat="1" ht="18" x14ac:dyDescent="0.2">
      <c r="A34" s="208">
        <v>66313</v>
      </c>
      <c r="B34" s="178" t="s">
        <v>189</v>
      </c>
      <c r="C34" s="179">
        <v>0</v>
      </c>
      <c r="D34" s="185">
        <v>0</v>
      </c>
      <c r="E34" s="185">
        <v>0</v>
      </c>
      <c r="F34" s="179">
        <f>8599.99/7.5345</f>
        <v>1141.4148251376998</v>
      </c>
      <c r="G34" s="186">
        <f t="shared" ref="G34:G57" si="3">D34/F34*100</f>
        <v>0</v>
      </c>
    </row>
    <row r="35" spans="1:7" s="141" customFormat="1" ht="18.75" thickBot="1" x14ac:dyDescent="0.25">
      <c r="A35" s="209">
        <v>66314</v>
      </c>
      <c r="B35" s="210" t="s">
        <v>190</v>
      </c>
      <c r="C35" s="211">
        <v>0</v>
      </c>
      <c r="D35" s="212">
        <v>0</v>
      </c>
      <c r="E35" s="212">
        <v>0</v>
      </c>
      <c r="F35" s="211">
        <f>1000/7.5345</f>
        <v>132.72280841462606</v>
      </c>
      <c r="G35" s="294">
        <f t="shared" si="3"/>
        <v>0</v>
      </c>
    </row>
    <row r="36" spans="1:7" s="141" customFormat="1" ht="18.75" thickBot="1" x14ac:dyDescent="0.25">
      <c r="A36" s="238">
        <v>67</v>
      </c>
      <c r="B36" s="239" t="s">
        <v>237</v>
      </c>
      <c r="C36" s="224">
        <f>C37</f>
        <v>214390</v>
      </c>
      <c r="D36" s="240">
        <f>D37</f>
        <v>99400.19</v>
      </c>
      <c r="E36" s="240">
        <f>D36/C36*100</f>
        <v>46.364191426838943</v>
      </c>
      <c r="F36" s="224">
        <f>F37</f>
        <v>106115.81259539451</v>
      </c>
      <c r="G36" s="241">
        <f t="shared" si="3"/>
        <v>93.67142141105748</v>
      </c>
    </row>
    <row r="37" spans="1:7" s="141" customFormat="1" ht="18.75" thickBot="1" x14ac:dyDescent="0.25">
      <c r="A37" s="238">
        <v>671</v>
      </c>
      <c r="B37" s="239" t="s">
        <v>238</v>
      </c>
      <c r="C37" s="224">
        <f>C38</f>
        <v>214390</v>
      </c>
      <c r="D37" s="240">
        <f>D38</f>
        <v>99400.19</v>
      </c>
      <c r="E37" s="240">
        <f>D37/C37*100</f>
        <v>46.364191426838943</v>
      </c>
      <c r="F37" s="224">
        <f>F38</f>
        <v>106115.81259539451</v>
      </c>
      <c r="G37" s="241">
        <f t="shared" si="3"/>
        <v>93.67142141105748</v>
      </c>
    </row>
    <row r="38" spans="1:7" s="141" customFormat="1" ht="18" x14ac:dyDescent="0.2">
      <c r="A38" s="273">
        <v>6711</v>
      </c>
      <c r="B38" s="274" t="s">
        <v>239</v>
      </c>
      <c r="C38" s="275">
        <f>C39+C40</f>
        <v>214390</v>
      </c>
      <c r="D38" s="276">
        <f>D39+D40</f>
        <v>99400.19</v>
      </c>
      <c r="E38" s="276">
        <f>D38/C38*100</f>
        <v>46.364191426838943</v>
      </c>
      <c r="F38" s="275">
        <f>F39+F40</f>
        <v>106115.81259539451</v>
      </c>
      <c r="G38" s="295">
        <f t="shared" si="3"/>
        <v>93.67142141105748</v>
      </c>
    </row>
    <row r="39" spans="1:7" ht="18" x14ac:dyDescent="0.2">
      <c r="A39" s="208">
        <v>671111</v>
      </c>
      <c r="B39" s="178" t="s">
        <v>176</v>
      </c>
      <c r="C39" s="179">
        <v>90000</v>
      </c>
      <c r="D39" s="185">
        <f>16458.68+3270+33696.1</f>
        <v>53424.78</v>
      </c>
      <c r="E39" s="185">
        <f t="shared" si="2"/>
        <v>59.360866666666666</v>
      </c>
      <c r="F39" s="179">
        <f>456511.6/7.5345</f>
        <v>60589.501625854398</v>
      </c>
      <c r="G39" s="186">
        <f t="shared" si="3"/>
        <v>88.174978447426099</v>
      </c>
    </row>
    <row r="40" spans="1:7" ht="18.75" thickBot="1" x14ac:dyDescent="0.25">
      <c r="A40" s="209">
        <v>671112</v>
      </c>
      <c r="B40" s="268" t="s">
        <v>177</v>
      </c>
      <c r="C40" s="211">
        <v>124390</v>
      </c>
      <c r="D40" s="269">
        <f>45539.23+436.18</f>
        <v>45975.41</v>
      </c>
      <c r="E40" s="269">
        <f t="shared" si="2"/>
        <v>36.960696197443525</v>
      </c>
      <c r="F40" s="211">
        <f>343017.99/7.5345</f>
        <v>45526.310969540114</v>
      </c>
      <c r="G40" s="296">
        <f t="shared" si="3"/>
        <v>100.9864604025579</v>
      </c>
    </row>
    <row r="41" spans="1:7" s="141" customFormat="1" ht="18.75" thickBot="1" x14ac:dyDescent="0.25">
      <c r="A41" s="261">
        <v>6712</v>
      </c>
      <c r="B41" s="270" t="s">
        <v>178</v>
      </c>
      <c r="C41" s="263">
        <v>0</v>
      </c>
      <c r="D41" s="271">
        <v>0</v>
      </c>
      <c r="E41" s="271">
        <v>0</v>
      </c>
      <c r="F41" s="263">
        <f>F42</f>
        <v>0</v>
      </c>
      <c r="G41" s="272">
        <v>0</v>
      </c>
    </row>
    <row r="42" spans="1:7" ht="18.75" thickBot="1" x14ac:dyDescent="0.25">
      <c r="A42" s="242">
        <v>67121</v>
      </c>
      <c r="B42" s="277" t="s">
        <v>178</v>
      </c>
      <c r="C42" s="244">
        <v>0</v>
      </c>
      <c r="D42" s="278">
        <v>0</v>
      </c>
      <c r="E42" s="278">
        <v>0</v>
      </c>
      <c r="F42" s="244">
        <v>0</v>
      </c>
      <c r="G42" s="297">
        <v>0</v>
      </c>
    </row>
    <row r="43" spans="1:7" s="141" customFormat="1" ht="18.75" thickBot="1" x14ac:dyDescent="0.25">
      <c r="A43" s="238">
        <v>68</v>
      </c>
      <c r="B43" s="279" t="s">
        <v>240</v>
      </c>
      <c r="C43" s="224">
        <f>C44</f>
        <v>500</v>
      </c>
      <c r="D43" s="280">
        <f>D44</f>
        <v>185.95</v>
      </c>
      <c r="E43" s="280">
        <f t="shared" ref="E43:E57" si="4">D43/C43*100</f>
        <v>37.19</v>
      </c>
      <c r="F43" s="224">
        <f>F44</f>
        <v>143.97770256818632</v>
      </c>
      <c r="G43" s="281">
        <f t="shared" si="3"/>
        <v>129.15194275442479</v>
      </c>
    </row>
    <row r="44" spans="1:7" s="141" customFormat="1" ht="18.75" thickBot="1" x14ac:dyDescent="0.25">
      <c r="A44" s="238">
        <v>683</v>
      </c>
      <c r="B44" s="279" t="s">
        <v>179</v>
      </c>
      <c r="C44" s="224">
        <f>C45</f>
        <v>500</v>
      </c>
      <c r="D44" s="280">
        <f>D45</f>
        <v>185.95</v>
      </c>
      <c r="E44" s="280">
        <f t="shared" si="4"/>
        <v>37.19</v>
      </c>
      <c r="F44" s="224">
        <f>F45</f>
        <v>143.97770256818632</v>
      </c>
      <c r="G44" s="281">
        <f t="shared" si="3"/>
        <v>129.15194275442479</v>
      </c>
    </row>
    <row r="45" spans="1:7" s="141" customFormat="1" ht="18.75" thickBot="1" x14ac:dyDescent="0.25">
      <c r="A45" s="261">
        <v>6831</v>
      </c>
      <c r="B45" s="270" t="s">
        <v>179</v>
      </c>
      <c r="C45" s="263">
        <f>C46</f>
        <v>500</v>
      </c>
      <c r="D45" s="271">
        <f>D46</f>
        <v>185.95</v>
      </c>
      <c r="E45" s="271">
        <f t="shared" si="4"/>
        <v>37.19</v>
      </c>
      <c r="F45" s="263">
        <f>F46</f>
        <v>143.97770256818632</v>
      </c>
      <c r="G45" s="272">
        <f t="shared" si="3"/>
        <v>129.15194275442479</v>
      </c>
    </row>
    <row r="46" spans="1:7" ht="18.75" thickBot="1" x14ac:dyDescent="0.25">
      <c r="A46" s="242">
        <v>68311</v>
      </c>
      <c r="B46" s="243" t="s">
        <v>179</v>
      </c>
      <c r="C46" s="244">
        <v>500</v>
      </c>
      <c r="D46" s="245">
        <v>185.95</v>
      </c>
      <c r="E46" s="245">
        <f t="shared" si="4"/>
        <v>37.19</v>
      </c>
      <c r="F46" s="244">
        <f>1084.8/7.5345</f>
        <v>143.97770256818632</v>
      </c>
      <c r="G46" s="290">
        <f t="shared" si="3"/>
        <v>129.15194275442479</v>
      </c>
    </row>
    <row r="47" spans="1:7" s="141" customFormat="1" ht="18.75" thickBot="1" x14ac:dyDescent="0.25">
      <c r="A47" s="214">
        <v>7</v>
      </c>
      <c r="B47" s="215" t="s">
        <v>241</v>
      </c>
      <c r="C47" s="213">
        <f>C48</f>
        <v>1526.28</v>
      </c>
      <c r="D47" s="216">
        <f>D48</f>
        <v>1526.28</v>
      </c>
      <c r="E47" s="216">
        <f t="shared" si="4"/>
        <v>100</v>
      </c>
      <c r="F47" s="213">
        <v>0</v>
      </c>
      <c r="G47" s="217">
        <v>0</v>
      </c>
    </row>
    <row r="48" spans="1:7" s="141" customFormat="1" ht="18.75" thickBot="1" x14ac:dyDescent="0.25">
      <c r="A48" s="251">
        <v>72</v>
      </c>
      <c r="B48" s="252" t="s">
        <v>242</v>
      </c>
      <c r="C48" s="182">
        <f>C49</f>
        <v>1526.28</v>
      </c>
      <c r="D48" s="253">
        <v>1526.28</v>
      </c>
      <c r="E48" s="253">
        <f t="shared" si="4"/>
        <v>100</v>
      </c>
      <c r="F48" s="182">
        <v>0</v>
      </c>
      <c r="G48" s="254">
        <v>0</v>
      </c>
    </row>
    <row r="49" spans="1:7" s="141" customFormat="1" ht="18.75" thickBot="1" x14ac:dyDescent="0.25">
      <c r="A49" s="238">
        <v>722</v>
      </c>
      <c r="B49" s="239" t="s">
        <v>243</v>
      </c>
      <c r="C49" s="224">
        <f>C50</f>
        <v>1526.28</v>
      </c>
      <c r="D49" s="240">
        <f>D51</f>
        <v>1526.28</v>
      </c>
      <c r="E49" s="240">
        <f t="shared" si="4"/>
        <v>100</v>
      </c>
      <c r="F49" s="224">
        <v>0</v>
      </c>
      <c r="G49" s="241">
        <v>0</v>
      </c>
    </row>
    <row r="50" spans="1:7" s="141" customFormat="1" ht="18.75" thickBot="1" x14ac:dyDescent="0.25">
      <c r="A50" s="261">
        <v>7226</v>
      </c>
      <c r="B50" s="262" t="s">
        <v>42</v>
      </c>
      <c r="C50" s="263">
        <f>C51</f>
        <v>1526.28</v>
      </c>
      <c r="D50" s="264">
        <f>D51</f>
        <v>1526.28</v>
      </c>
      <c r="E50" s="264">
        <f t="shared" si="4"/>
        <v>100</v>
      </c>
      <c r="F50" s="263">
        <v>0</v>
      </c>
      <c r="G50" s="265">
        <v>0</v>
      </c>
    </row>
    <row r="51" spans="1:7" s="141" customFormat="1" ht="18.75" thickBot="1" x14ac:dyDescent="0.25">
      <c r="A51" s="242">
        <v>72262</v>
      </c>
      <c r="B51" s="243" t="s">
        <v>181</v>
      </c>
      <c r="C51" s="244">
        <v>1526.28</v>
      </c>
      <c r="D51" s="245">
        <v>1526.28</v>
      </c>
      <c r="E51" s="245">
        <f t="shared" si="4"/>
        <v>100</v>
      </c>
      <c r="F51" s="244">
        <v>0</v>
      </c>
      <c r="G51" s="290">
        <v>0</v>
      </c>
    </row>
    <row r="52" spans="1:7" s="141" customFormat="1" ht="18.75" thickBot="1" x14ac:dyDescent="0.25">
      <c r="A52" s="214">
        <v>9</v>
      </c>
      <c r="B52" s="215" t="s">
        <v>219</v>
      </c>
      <c r="C52" s="213">
        <f>C53</f>
        <v>15892.15</v>
      </c>
      <c r="D52" s="216">
        <v>0</v>
      </c>
      <c r="E52" s="216">
        <f t="shared" si="4"/>
        <v>0</v>
      </c>
      <c r="F52" s="213">
        <v>0</v>
      </c>
      <c r="G52" s="217">
        <v>0</v>
      </c>
    </row>
    <row r="53" spans="1:7" s="141" customFormat="1" ht="18.75" thickBot="1" x14ac:dyDescent="0.25">
      <c r="A53" s="238">
        <v>92</v>
      </c>
      <c r="B53" s="239" t="s">
        <v>244</v>
      </c>
      <c r="C53" s="224">
        <f>C54</f>
        <v>15892.15</v>
      </c>
      <c r="D53" s="240">
        <v>0</v>
      </c>
      <c r="E53" s="240">
        <f t="shared" si="4"/>
        <v>0</v>
      </c>
      <c r="F53" s="224">
        <v>0</v>
      </c>
      <c r="G53" s="241">
        <v>0</v>
      </c>
    </row>
    <row r="54" spans="1:7" s="141" customFormat="1" ht="18.75" thickBot="1" x14ac:dyDescent="0.25">
      <c r="A54" s="238">
        <v>922</v>
      </c>
      <c r="B54" s="239" t="s">
        <v>245</v>
      </c>
      <c r="C54" s="224">
        <f>C55</f>
        <v>15892.15</v>
      </c>
      <c r="D54" s="240">
        <v>0</v>
      </c>
      <c r="E54" s="240">
        <f t="shared" si="4"/>
        <v>0</v>
      </c>
      <c r="F54" s="224">
        <v>0</v>
      </c>
      <c r="G54" s="241">
        <v>0</v>
      </c>
    </row>
    <row r="55" spans="1:7" s="141" customFormat="1" ht="18.75" thickBot="1" x14ac:dyDescent="0.25">
      <c r="A55" s="261">
        <v>9221</v>
      </c>
      <c r="B55" s="262" t="s">
        <v>246</v>
      </c>
      <c r="C55" s="263">
        <f>C56</f>
        <v>15892.15</v>
      </c>
      <c r="D55" s="264">
        <v>0</v>
      </c>
      <c r="E55" s="264">
        <f t="shared" si="4"/>
        <v>0</v>
      </c>
      <c r="F55" s="263">
        <v>0</v>
      </c>
      <c r="G55" s="265">
        <v>0</v>
      </c>
    </row>
    <row r="56" spans="1:7" ht="18.75" thickBot="1" x14ac:dyDescent="0.3">
      <c r="A56" s="282">
        <v>92211</v>
      </c>
      <c r="B56" s="283" t="s">
        <v>180</v>
      </c>
      <c r="C56" s="244">
        <v>15892.15</v>
      </c>
      <c r="D56" s="284">
        <f>C52+C47+C2</f>
        <v>1780370.88</v>
      </c>
      <c r="E56" s="284">
        <f t="shared" si="4"/>
        <v>11202.83209005704</v>
      </c>
      <c r="F56" s="244">
        <v>0</v>
      </c>
      <c r="G56" s="298">
        <v>0</v>
      </c>
    </row>
    <row r="57" spans="1:7" ht="21.75" customHeight="1" thickBot="1" x14ac:dyDescent="0.3">
      <c r="A57" s="285"/>
      <c r="B57" s="286" t="s">
        <v>247</v>
      </c>
      <c r="C57" s="287">
        <f>C2+C47+C52</f>
        <v>1780370.88</v>
      </c>
      <c r="D57" s="288">
        <f>D2+D47</f>
        <v>688145.45</v>
      </c>
      <c r="E57" s="288">
        <f t="shared" si="4"/>
        <v>38.651803269215456</v>
      </c>
      <c r="F57" s="288">
        <f>F2</f>
        <v>613975.23525117792</v>
      </c>
      <c r="G57" s="289">
        <f t="shared" si="3"/>
        <v>112.08032677710185</v>
      </c>
    </row>
    <row r="59" spans="1:7" ht="20.25" x14ac:dyDescent="0.3">
      <c r="A59" s="84"/>
      <c r="B59" s="85"/>
      <c r="C59" s="85"/>
      <c r="D59" s="85"/>
      <c r="E59" s="85"/>
    </row>
    <row r="60" spans="1:7" ht="20.25" x14ac:dyDescent="0.3">
      <c r="A60" s="83"/>
      <c r="B60" s="83"/>
      <c r="C60" s="83"/>
      <c r="D60" s="83"/>
      <c r="E60" s="83"/>
    </row>
    <row r="61" spans="1:7" ht="20.25" x14ac:dyDescent="0.3">
      <c r="A61" s="86" t="s">
        <v>208</v>
      </c>
      <c r="B61" s="86"/>
      <c r="C61" s="86"/>
      <c r="D61" s="86"/>
      <c r="E61" s="86"/>
      <c r="F61" s="86"/>
    </row>
    <row r="62" spans="1:7" ht="20.25" x14ac:dyDescent="0.3">
      <c r="A62" s="86"/>
      <c r="B62" s="86"/>
      <c r="C62" s="86"/>
      <c r="D62" s="86"/>
      <c r="E62" s="86"/>
      <c r="F62" s="86"/>
    </row>
    <row r="63" spans="1:7" ht="20.25" x14ac:dyDescent="0.3">
      <c r="A63" s="86" t="s">
        <v>209</v>
      </c>
      <c r="B63" s="86"/>
      <c r="C63" s="86"/>
      <c r="D63" s="86"/>
      <c r="E63" s="86"/>
      <c r="F63" s="86"/>
    </row>
    <row r="64" spans="1:7" ht="20.25" x14ac:dyDescent="0.3">
      <c r="A64" s="86"/>
      <c r="B64" s="86"/>
      <c r="C64" s="86"/>
      <c r="D64" s="86"/>
      <c r="E64" s="86"/>
      <c r="F64" s="86"/>
    </row>
    <row r="65" spans="1:6" ht="18" x14ac:dyDescent="0.25">
      <c r="A65" s="87" t="s">
        <v>250</v>
      </c>
      <c r="B65" s="141"/>
      <c r="F65" s="141"/>
    </row>
    <row r="66" spans="1:6" x14ac:dyDescent="0.2">
      <c r="A66" s="141"/>
      <c r="B66" s="141"/>
    </row>
    <row r="67" spans="1:6" ht="18.75" x14ac:dyDescent="0.3">
      <c r="A67" s="144" t="s">
        <v>251</v>
      </c>
      <c r="B67" s="141"/>
      <c r="F67" s="82"/>
    </row>
    <row r="68" spans="1:6" ht="18.75" x14ac:dyDescent="0.3">
      <c r="A68" s="299" t="s">
        <v>252</v>
      </c>
      <c r="B68" s="141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Izvršenje rashodi</vt:lpstr>
      <vt:lpstr>Izvršenje prihodi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2023-07-05T09:25:22Z</cp:lastPrinted>
  <dcterms:created xsi:type="dcterms:W3CDTF">2007-11-26T13:30:35Z</dcterms:created>
  <dcterms:modified xsi:type="dcterms:W3CDTF">2023-07-05T09:25:23Z</dcterms:modified>
</cp:coreProperties>
</file>